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Specs" sheetId="5" r:id="rId5"/>
    <sheet name="Specs (DNF)" sheetId="6" r:id="rId6"/>
    <sheet name="Colors" sheetId="7" r:id="rId7"/>
  </sheets>
  <definedNames>
    <definedName name="BoardQty" localSheetId="3">'Costs (DNF)'!$H$2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PURCHASE_DESCRIPTION" localSheetId="3">'Costs (DNF)'!$H$21</definedName>
    <definedName name="PURCHASE_DESCRIPTION" localSheetId="2">'Costs'!$H$24</definedName>
    <definedName name="TotalCost" localSheetId="3">'Costs (DNF)'!$H$4</definedName>
    <definedName name="TotalCost" localSheetId="2">'Costs'!$H$4</definedName>
    <definedName name="USD_GBP" localSheetId="3">'Costs (DNF)'!$C$21</definedName>
    <definedName name="USD_GBP" localSheetId="2">'Costs'!$C$24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8" authorId="0">
      <text>
        <r>
          <rPr>
            <sz val="8"/>
            <color indexed="81"/>
            <rFont val="Tahoma"/>
            <family val="2"/>
          </rPr>
          <t>Code used to buy the part at Digi-Key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8" authorId="0">
      <text>
        <r>
          <rPr>
            <sz val="8"/>
            <color indexed="81"/>
            <rFont val="Tahoma"/>
            <family val="2"/>
          </rPr>
          <t>Code used to buy the part at Digi-Key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184000 In Stock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$84.00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Multilayer Ceramic Capacitors MLCC - SMD/SMT 50V 0.1uF X7R 0805 10%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$0.97
    50   $0.05      $2.74
   100   $0.05      $4.54
   500   $0.03     $15.91
  1000   $0.03     $26.34
  4000   $0.02     $89.72
  8000   $0.02    $166.96
 12000   $0.02    $237.84
 40000   $0.02    $751.20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Capacitor, 0.1 uF, 50 V, ± 10%, X7R, 0805 [2012 Metric]
Footprint: 0805
Manf: KEMET
Size: L: 2 mm W: 1.2 mm H: 900 µm
Temp_coeff: 30 ppm/°C
Tolerance: ±10%, 10 %
Value: 0.1 µF, 100nF, 100 nF 
Voltage: 50 V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$0.04      $4.08
   300   $0.03      $7.96
  1000   $0.02     $19.41
  4000   $0.01     $59.28
 12000   $0.01    $163.80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Desc: Capacitor: ceramic; MLCC; 100nF; 50VDC; X7R; ±10%; SMD; 0805
Manf: KEMET
Tolerance: ±10%
Value: 100nF 
Voltage: 50V DC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$1.04
    25   $0.10      $2.58
   100   $0.04      $3.97
   250   $0.04      $9.83
   500   $0.03     $15.10
  4000   $0.03    $123.20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Desc: Multilayer Ceramic Capacitor, 0.1 uF, 50 V, ± 10%, X7R, 0805 [2012 Metric]
Footprint: 0805
Manf: KEMET
Size: L: 2 mm W: 1.2 mm H: 900 µm
Temp_coeff: 30 ppm/°C
Tolerance: 10 %
Value: 100 nF 
Voltage: 50 V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£0.83
   100   £0.04      £4.30
   500   £0.04     £17.50
  1000   £0.03     £34.00
  2000   £0.03     £66.60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 xml:space="preserve">Desc: KEMET - C0805C104K5RACTU - SMD Multilayer Ceramic Capacitor, 0.1 µF, 50 V, 0805 [2012 Metric], ± 10%, X7R, C Series KEMET
Tolerance: ± 10%
Value: 0.1 µF </t>
        </r>
      </text>
    </comment>
    <comment ref="I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Multilayer Ceramic Capacitors MLCC - SMD/SMT 1.0UF    25V   10%        0805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$0.05      $2.70
   100   $0.04      $4.48
   500   $0.03     $15.71
  1000   $0.03     $26.01
  2500   $0.02     $60.52
  5000   $0.02    $110.75
 12500   $0.02    $244.62
 25000   $0.02    $463.50
 62500   $0.02  $1,062.50
125000   $0.01  $1,755.00
250000   $0.01  $3,220.00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Desc: Multilayer Ceramic Capacitor, 1 uF, 25 V, ± 10%, X7R, 0805 [2012 Metric]
Footprint: 0805
Manf: KEMET
Size: L: 2 mm W: 1.2446 mm H: 1.25 mm
Tolerance: ±10%, 10 %
Value: 1 µF 
Voltage: 25 V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$0.04      $3.86
   300   $0.03      $8.16
  1000   $0.02     $23.60
  2500   $0.02     $53.50
  5000   $0.02    $103.50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Desc: Capacitor: ceramic; MLCC; 1uF; 25VDC; X7R; ±10%; SMD; 0805
Manf: KEMET
Tolerance: ±10%
Value: 1µF 
Voltage: 25V DC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$0.23    $582.25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Desc: Multilayer Ceramic Capacitor, 1 uF, 25 V, ± 10%, X7R, 0805 [2012 Metric]
Footprint: 0805
Manf: KEMET
Size: L: 2 mm W: 1.2446 mm H: 1.25 mm
Tolerance: 10 %
Value: 1 µF 
Voltage: 25 V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£0.86
    50   £0.17      £8.40
   250   £0.16     £41.00
   500   £0.16     £80.50
  1000   £0.16    £157.00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 xml:space="preserve">Desc: KEMET - C0805C105K3RACTU - SMD Multilayer Ceramic Capacitor, 1 µF, 25 V, 0805 [2012 Metric], ± 10%, X7R, C Series KEMET
Tolerance: ± 10%
Value: 1 µF </t>
        </r>
      </text>
    </comment>
    <comment ref="I12" authorId="0">
      <text>
        <r>
          <rPr>
            <sz val="8"/>
            <color indexed="81"/>
            <rFont val="Tahoma"/>
            <family val="2"/>
          </rPr>
          <t>1115 In Stock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$1.78     $17.80
    50   $1.56     $78.00
   100   $1.36    $136.00
   500   $1.03    $515.00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Aluminum Electrolytic Capacitors - SMD 47uF 50volts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$1.54     $15.37
    25   $1.50     $37.52
   100   $1.19    $118.90
   250   $1.17    $293.55
   500   $0.93    $466.90
  1000   $0.92    $924.50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Desc: Cap Aluminum 47uF 50V 20% (8 X 10mm) SMD 0.5 Ohm 180mA 3000h 105C Blister T/R
Footprint: Radial
Manf: Vishay
Size: W: 8.6 mm H: 10 mm
Tolerance: 20 %
Value: 47 µF 
Voltage: 50 V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£1.85      £1.85
    10   £1.50     £15.00
    50   £1.31     £65.50
   100   £1.14    £114.00
   200   £1.12    £224.00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 xml:space="preserve">Desc: VISHAY - MAL215371479E3 - SMD Aluminium Electrolytic Capacitor, Radial Can - SMD, 47 µF, 50 V, 0.5 ohm, 3000 hours @ 105°C
Tolerance: ± 20%
Value: 47 µF </t>
        </r>
      </text>
    </comment>
    <comment ref="I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Diodes - General Purpose, Power, Switching IO=150mA VR=75V HIGH SPEED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£0.12      £0.59
    25   £0.12      £2.93
   100   £0.05      £4.96
   250   £0.05     £11.65
   500   £0.04     £18.35
  1000   £0.03     £25.50
  5000   £0.02     £81.50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Desc: BOURNS - CD1206-S01575 - Small Signal Diode, Single, 100 V, 150 mA, 1 V, 4 ns, 4 A
Footprint: 1206</t>
        </r>
      </text>
    </comment>
    <comment ref="I14" authorId="0">
      <text>
        <r>
          <rPr>
            <sz val="8"/>
            <color indexed="81"/>
            <rFont val="Tahoma"/>
            <family val="2"/>
          </rPr>
          <t>959119 In Stock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$0.16      $1.64
   100   $0.08      $7.70
   500   $0.07     $35.50
  1000   $0.05     $54.00
  5000   $0.05    $235.00
 10000   $0.04    $430.00
 16000   $0.04    $592.00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Standard LEDs - SMD Chipled</t>
        </r>
      </text>
    </comment>
    <comment ref="I15" authorId="0">
      <text>
        <r>
          <rPr>
            <sz val="8"/>
            <color indexed="81"/>
            <rFont val="Tahoma"/>
            <family val="2"/>
          </rPr>
          <t>1538 In Stock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$1.71     $17.10
    50   $1.52     $76.00
   100   $1.40    $140.00
   250   $1.39    $347.50
   500   $1.22    $610.00
  1000   $1.06  $1,060.00
  2500   $1.04  $2,600.00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DC Power Connectors WR-DC PwrJk CtrPnSMT RtAngld W/4 Sldg Pad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$1.71     $17.10
    50   $1.52     $76.00
   100   $1.40    $140.00
   250   $1.40    $350.00
   500   $1.22    $610.00
  1250   $1.04  $1,300.01</t>
        </r>
      </text>
    </comment>
    <comment ref="T15" authorId="0">
      <text>
        <r>
          <rPr>
            <sz val="8"/>
            <color indexed="81"/>
            <rFont val="Tahoma"/>
            <family val="2"/>
          </rPr>
          <t>Current: 5 A
Desc: DC Power Jack Connector with 4 soldering pads &amp; Pegs WR-DC, Male, Right Angled, SMT, 5 A, 24 V
Manf: Wurth Elektronik
Size: H: 11.5 mm
Voltage: 24 V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£1.39      £1.39
    10   £1.18     £11.80
   100   £1.08    £108.00
   250   £1.01    £252.50
   500   £0.94    £470.50
  1000   £0.83    £830.00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Desc: WURTH ELEKTRONIK - 694106106102 - DC Power Connector, Jack, 5 A, 2 mm, Surface Mount, Surface Mount
Voltage: 24 V</t>
        </r>
      </text>
    </comment>
    <comment ref="I16" authorId="0">
      <text>
        <r>
          <rPr>
            <sz val="8"/>
            <color indexed="81"/>
            <rFont val="Tahoma"/>
            <family val="2"/>
          </rPr>
          <t>43141 In Stock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$0.22      $2.21
   100   $0.19     $18.60
   500   $0.17     $84.00
  1000   $0.14    $139.00
  2000   $0.12    $238.00
 10000   $0.11  $1,120.00
 25000   $0.11  $2,650.00
 50000   $0.10  $5,150.00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Headers &amp; Wire Housings 03+03 DIL VERTICAL PIN HEADER TIN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$0.26      $2.55
   100   $0.20     $19.80
   500   $0.17     $84.84
  1000   $0.14    $141.40
  5000   $0.12    $606.00
 10000   $0.11  $1,131.20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Current: 3 A
Desc: 2.54mm (0.1") Pitch DIL Vertical PC Tail Pin Header, 6.1mm mating pin height, tin, 3+3 contacts
Manf: Harwin
Size: L: 7.62 mm H: 8.99 mm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£0.17     £17.30
   500   £0.15     £74.50
  1000   £0.12    £124.00
  2500   £0.12    £287.50
  5000   £0.11    £530.00
 10000   £0.10    £990.00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Desc: HARWIN - M20-9980346 - Pin Header, Board-to-Board, 2.54 mm, 2 Rows, 6 Contacts, Through Hole, M20</t>
        </r>
      </text>
    </comment>
    <comment ref="I17" authorId="0">
      <text>
        <r>
          <rPr>
            <sz val="8"/>
            <color indexed="81"/>
            <rFont val="Tahoma"/>
            <family val="2"/>
          </rPr>
          <t>50167 In Stock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$0.20      $1.95
   100   $0.16     $15.90
   500   $0.14     $71.50
  1000   $0.12    $116.00
  2000   $0.10    $208.00
 10000   $0.09    $940.00
 25000   $0.09  $2,175.00
 50000   $0.08  $4,200.00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Headers &amp; Wire Housings 05 SIL VERTICAL PIN HEADER TIN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$0.22      $2.22
   100   $0.17     $17.07
   500   $0.14     $72.22
  1000   $0.12    $118.17
  5000   $0.11    $525.20
 10000   $0.10    $951.90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Current: 3 A
Desc: 2.54mm (0.1") Pitch SIL Vertical PC Tail Pin Header, 6.1mm mating pin height, tin, 5 contacts
Footprint: SIL
Manf: Harwin
Size: L: 12.7 mm 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£0.15     £14.60
   500   £0.12     £62.00
  1000   £0.10    £101.00
  2500   £0.10    £238.75
  5000   £0.09    £450.00
 10000   £0.08    £815.00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Desc: HARWIN - M20-9990546 - Pin Header, Board-to-Board, 2.54 mm, 1 Rows, 5 Contacts, Through Hole</t>
        </r>
      </text>
    </comment>
    <comment ref="I18" authorId="0">
      <text>
        <r>
          <rPr>
            <sz val="8"/>
            <color indexed="81"/>
            <rFont val="Tahoma"/>
            <family val="2"/>
          </rPr>
          <t>86859 In Stock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$0.22      $2.21
   100   $0.19     $18.60
   500   $0.17     $84.00
  1000   $0.14    $139.00
  2000   $0.12    $238.00
 10000   $0.11  $1,120.00
 25000   $0.11  $2,650.00
 50000   $0.10  $5,150.00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Headers &amp; Wire Housings 06 SIL VERTICAL PIN HEADER TIN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$0.26      $2.55
   100   $0.20     $19.80
   500   $0.17     $84.84
  1000   $0.14    $141.40
  5000   $0.12    $606.00
 10000   $0.11  $1,131.20</t>
        </r>
      </text>
    </comment>
    <comment ref="T18" authorId="0">
      <text>
        <r>
          <rPr>
            <sz val="8"/>
            <color indexed="81"/>
            <rFont val="Tahoma"/>
            <family val="2"/>
          </rPr>
          <t xml:space="preserve">Current: 3 A
Desc: 2.54mm (0.1") Pitch SIL Vertical PC Tail Pin Header, 6.1mm mating pin height, tin, 6 contacts
Footprint: SIL
Manf: Harwin
Size: L: 15.24 mm 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£0.17     £16.90
   500   £0.14     £72.50
  1000   £0.12    £121.00
  2500   £0.11    £282.50
  5000   £0.10    £520.00
 10000   £0.10    £968.00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Desc: HARWIN - M20-9990646 - Pin Header, Board-to-Board, 2.54 mm, 1 Rows, 6 Contacts, Through Hole, M20</t>
        </r>
      </text>
    </comment>
    <comment ref="I19" authorId="0">
      <text>
        <r>
          <rPr>
            <sz val="8"/>
            <color indexed="81"/>
            <rFont val="Tahoma"/>
            <family val="2"/>
          </rPr>
          <t>204557 In Stock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Desc: Thick Film Resistors - SMD 1K 1%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19" authorId="0">
      <text>
        <r>
          <rPr>
            <sz val="8"/>
            <color indexed="81"/>
            <rFont val="Tahoma"/>
            <family val="2"/>
          </rPr>
          <t>Desc: Res Thick Film 0805 1K Ohm 1% 1/8W ±100ppm/°C Molded SMD SMD Paper Tape on Plastic Reel
Footprint: 0805
Manf: Bourns
Power: 125 mW
Size: L: 2 mm W: 1.25 mm H: 500 µm
Temp_coeff: 100 ppm/°C
Tolerance: 1 %
Value: 1 kohm, 1 kΩ 
Voltage: 150 V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$0.41
    25   $0.02      $0.55
   100   $0.01      $1.04
   250   $0.01      $2.50
   500   $0.01      $4.75
  1000   $0.01      $5.10
  3000   $0.00     $12.90
  5000   $0.00     $14.50
  6000   $0.00     $16.80
 30000   $0.00     $75.00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Desc: Res Thick Film 0805 1K Ohm 1% 1/8W ±100ppm/°C Molded SMD SMD Paper Tape on Plastic Reel
Footprint: 0805
Manf: Bourns
Power: 125 mW
Size: L: 2 mm W: 1.25 mm H: 500 µm
Temp_coeff: 100 ppm/°C
Tolerance: 1 %
Value: 1 kΩ 
Voltage: 150 V</t>
        </r>
      </text>
    </comment>
    <comment ref="AI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£1.10
   500   £0.01      £4.00
  1000   £0.01      £5.00
  2500   £0.00     £10.00
  5000   £0.00     £19.00
 25000   £0.00     £87.50
 50000   £0.00    £165.00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Desc: BOURNS - CR0805-FX-1001ELF - SMD Chip Resistor, 1 kohm, ± 1%, 125 mW, 0805 [2012 Metric], Thick Film, General Purpose
Power: 125 mW
Temp_coeff: ± 100ppm/°C
Tolerance: ± 1%
Value: 1 kohm 
Voltage: 150 V</t>
        </r>
      </text>
    </comment>
    <comment ref="I20" authorId="0">
      <text>
        <r>
          <rPr>
            <sz val="8"/>
            <color indexed="81"/>
            <rFont val="Tahoma"/>
            <family val="2"/>
          </rPr>
          <t>2738671 In Stock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Desc: Thick Film Resistors - SMD 10K 1%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Desc: Res Thick Film 0805 10K Ohm 1% 1/8W ±100ppm/°C Molded SMD SMD Paper Tape on Plastic Reel
Footprint: 0805
Manf: Bourns
Power: 125 mW
Size: L: 2 mm W: 1.25 mm H: 500 µm
Temp_coeff: 100 ppm/°C
Tolerance: 1 %
Value: 10 kohm, 10 kΩ 
Voltage: 150 V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$0.41
    25   $0.02      $0.59
   100   $0.01      $1.07
   250   $0.01      $2.65
   500   $0.01      $4.75
  1000   $0.01      $5.20
  3000   $0.01     $15.30
  5000   $0.00     $13.00
  6000   $0.00     $16.80
 15000   $0.00     $40.50
 30000   $0.00     $75.00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Desc: Res Thick Film 0805 10K Ohm 1% 1/8W ±100ppm/°C Molded SMD SMD Paper Tape on Plastic Reel
Footprint: 0805
Manf: Bourns
Power: 125 mW
Size: L: 2 mm W: 1.25 mm H: 500 µm
Temp_coeff: 100 ppm/°C
Tolerance: 1 %
Value: 10 kΩ 
Voltage: 150 V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£0.29
   100   £0.01      £1.24
   500   £0.01      £4.50
  1000   £0.01      £5.60
  2500   £0.00     £11.25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Desc: BOURNS - CR0805-FX-1002ELF - SMD Chip Resistor, 10 kohm, ± 1%, 125 mW, 0805 [2012 Metric], Thick Film, General Purpose
Power: 125 mW
Temp_coeff: ± 100ppm/°C
Tolerance: ± 1%
Value: 10 kohm 
Voltage: 150 V</t>
        </r>
      </text>
    </comment>
    <comment ref="I21" authorId="0">
      <text>
        <r>
          <rPr>
            <sz val="8"/>
            <color indexed="81"/>
            <rFont val="Tahoma"/>
            <family val="2"/>
          </rPr>
          <t>110 In Stock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$2.91      $2.91
    25   $2.68     $67.00
   100   $2.63    $263.00
   250   $2.62    $655.00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Desc: 8-bit Microcontrollers - MCU USB 8K FLASH 16 MHz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$3.15      $3.15
    25   $2.90     $72.45
   100   $2.63    $263.35</t>
        </r>
      </text>
    </comment>
    <comment ref="T21" authorId="0">
      <text>
        <r>
          <rPr>
            <sz val="8"/>
            <color indexed="81"/>
            <rFont val="Tahoma"/>
            <family val="2"/>
          </rPr>
          <t>Desc: IC MCU 8BIT 8KB FLASH 32TQFP / Microcontroller with 8/16/32K Bytes of ISP Flash and USB Controller
Footprint: TQFP
Frequency: 16 MHz
Manf: Microchip
Size: L: 7 mm W: 7 mm H: 1.05 mm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$2.80      $2.80
     5   $2.75     $13.75
    25   $2.60     $65.00
   100   $2.41    $241.00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Desc: IC: AVR microcontroller; EEPROM: 512B; SRAM: 512B; Flash: 8kB; Cmp: 1
Manf: MICROCHIP (ATMEL)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$2.93      $2.93
    25   $2.70     $67.53
   100   $2.62    $261.90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Desc: IC MCU 8BIT 8KB FLASH 32TQFP / Microcontroller with 8/16/32K Bytes of ISP Flash and USB Controller
Footprint: TQFP
Frequency: 16 MHz
Manf: Microchip
Size: L: 7 mm W: 7 mm H: 1.05 mm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£2.74      £2.74
    25   £2.53     £63.25
   100   £2.47    £247.00
   250   £2.42    £605.00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Desc: MICROCHIP - ATMEGA8U2-AU - MCU-Application Specific 8 bit, AVR MEGA, 16 MHz, 512 Byte RAM/8 KB Program, 2.7V-5.5Vin, TQFP-32
Footprint: TQFP</t>
        </r>
      </text>
    </comment>
    <comment ref="G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Z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Z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N10" authorId="0">
      <text>
        <r>
          <rPr>
            <sz val="8"/>
            <color indexed="81"/>
            <rFont val="Tahoma"/>
            <family val="2"/>
          </rPr>
          <t>Desc: Multilayer Ceramic Capacitors MLCC - SMD/SMT 22PF     50V    5%        0805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$0.03      $1.52
   100   $0.02      $2.47
   500   $0.02      $8.84
  1000   $0.01     $13.89
  4000   $0.01     $46.48
  8000   $0.01     $84.88
 12000   $0.01    $121.20
 40000   $0.01    $384.00</t>
        </r>
      </text>
    </comment>
    <comment ref="T10" authorId="0">
      <text>
        <r>
          <rPr>
            <sz val="8"/>
            <color indexed="81"/>
            <rFont val="Tahoma"/>
            <family val="2"/>
          </rPr>
          <t>Desc: Multilayer Ceramic Capacitor, 22 pF, 50 V, ± 5%, C0G (NP0), 0805 [2012 Metric]
Footprint: 0805
Manf: KEMET
Size: L: 2 mm W: 1.2446 mm H: 780 µm
Temp_coeff: 30 ppm/°C
Tolerance: ±5%, 5 %
Value: 22 pF 
Voltage: 50 V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$0.01      $1.30
   300   $0.01      $2.83
  1000   $0.01      $6.18
  4000   $0.00     $19.12
 12000   $0.00     $55.08</t>
        </r>
      </text>
    </comment>
    <comment ref="Z10" authorId="0">
      <text>
        <r>
          <rPr>
            <sz val="8"/>
            <color indexed="81"/>
            <rFont val="Tahoma"/>
            <family val="2"/>
          </rPr>
          <t>Desc: Capacitor: ceramic; MLCC; 22pF; 50VDC; C0G; ±5%; SMD; 0805
Manf: KEMET
Tolerance: ±5%
Value: 22pF 
Voltage: 50V DC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$0.01     $58.40
  8000   $0.01    $108.00
 12000   $0.01    $148.80
 40000   $0.01    $344.00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Desc: Multilayer Ceramic Capacitor, 22 pF, 50 V, ± 5%, C0G (NP0), 0805 [2012 Metric]
Footprint: 0805
Manf: KEMET
Size: L: 2 mm W: 1.2446 mm H: 780 µm
Temp_coeff: 30 ppm/°C
Tolerance: 5 %
Value: 22 pF 
Voltage: 50 V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£0.55
   100   £0.03      £2.50
   500   £0.02      £9.00
  1000   £0.01     £14.00
  2000   £0.01     £26.00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 xml:space="preserve">Desc: KEMET - C0805C220J5GACTU - SMD Multilayer Ceramic Capacitor, 22 pF, 50 V, 0805 [2012 Metric], ± 5%, C0G / NP0, C Series KEMET
Tolerance: ± 5%
Value: 22 pF </t>
        </r>
      </text>
    </comment>
    <comment ref="I11" authorId="0">
      <text>
        <r>
          <rPr>
            <sz val="8"/>
            <color indexed="81"/>
            <rFont val="Tahoma"/>
            <family val="2"/>
          </rPr>
          <t>42588 In Stock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$2.64
   100   $0.22     $21.90
   500   $0.18     $91.00
  1000   $0.17    $173.00
  2000   $0.15    $294.00
  4000   $0.14    $548.00
  8000   $0.13  $1,032.00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Desc: Resettable Fuses - PPTC 15V   .5A-HD   100A MAX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 5   $0.31      $1.55
    10   $0.29      $2.95
    50   $0.26     $13.18
   100   $0.25     $24.54
   250   $0.22     $54.54
   500   $0.18     $90.90
  1000   $0.17    $172.71
  2000   $0.15    $309.06
  4000   $0.15    $581.76
  6000   $0.14    $818.10
 10000   $0.13  $1,272.60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Current: 100 A
Desc: PTC Resettable Fuse 0.5A(hold) 1A(trip) 15V 100A 0.8W 0.15s 0.15Ohm SMD Solder Pad 1812 T/R
Footprint: 1812
Manf: Bourns
Size: L: 4.73 mm W: 3.41 mm H: 850 µm
Value: 150 mΩ 
Voltage: 15 V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$0.42      $2.08
   100   $0.27     $26.66
   500   $0.21    $106.60
  1000   $0.19    $191.90
  1500   $0.18    $271.95</t>
        </r>
      </text>
    </comment>
    <comment ref="Z11" authorId="0">
      <text>
        <r>
          <rPr>
            <sz val="8"/>
            <color indexed="81"/>
            <rFont val="Tahoma"/>
            <family val="2"/>
          </rPr>
          <t>Desc: Fuse: PTC polymer; 500mA; Imax: 100A; PCB,SMT; MF-SM; 1812; reel
Manf: BOURNS
Power: 800mW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$2.63
    25   $0.26      $6.43
   100   $0.21     $21.06
   250   $0.20     $50.15
   500   $0.17     $86.60
  1000   $0.17    $170.00
  3000   $0.17    $500.40
  4000   $0.12    $483.60
  6000   $0.16    $981.60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Current: 100 A
Desc: PTC Resettable Fuse 0.5A(hold) 1A(trip) 15V 100A 0.8W 0.15s 0.15Ohm SMD Solder Pad 1812 T/R
Footprint: 1812
Manf: Bourns
Size: L: 4.73 mm W: 3.41 mm H: 850 µm
Value: 150 mΩ 
Voltage: 15 V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£0.43      £4.35
   100   £0.38     £38.10
   500   £0.32    £158.00
  1000   £0.28    £283.00
  2000   £0.26    £522.00
  4000   £0.24    £976.00
 20000   £0.23  £4,620.00
 40000   £0.22  £8,880.00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Desc: BOURNS - MF-MSMF050-2 - Resettable Fuse, PPTC, 1812 (4532 Metric), MF-MSMF, 15 VDC, 500 mA, 1 A, 0.15 s
Footprint: 1812 (4532 Metric)
Voltage: 15 VDC</t>
        </r>
      </text>
    </comment>
    <comment ref="I12" authorId="0">
      <text>
        <r>
          <rPr>
            <sz val="8"/>
            <color indexed="81"/>
            <rFont val="Tahoma"/>
            <family val="2"/>
          </rPr>
          <t>927679 In Stock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$0.68
   100   $0.04      $3.60
   500   $0.03     $16.50
  1000   $0.03     $29.00
  4000   $0.02     $88.00
  8000   $0.02    $168.00
 24000   $0.02    $480.00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Desc: Ferrite Beads 220 OHM 25% Alternate Sizing Guide Below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$0.82
    25   $0.07      $1.87
    50   $0.07      $3.36
   100   $0.05      $4.93
   250   $0.04      $8.97
   500   $0.03     $16.44
  1000   $0.03     $28.40
  4000   $0.02     $95.68
  8000   $0.02    $173.44
 12000   $0.02    $251.16
 28000   $0.02    $544.04
100000   $0.02  $1,921.00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 xml:space="preserve">Current: 2 A
Desc: Ferrite Beads Multi-Layer 220Ohm 25% 100MHz 2A 45mOhm DCR 0805 Paper T/R
Footprint: 0805
Frequency: 100 MHz
Manf: Murata
Size: L: 2 mm W: 1.25 mm H: 850 µm
Tolerance: 25 %
Value: 0.05Ω, 50 mΩ 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$0.03      $2.57
   500   $0.02      $9.80
  1000   $0.02     $16.19
  4000   $0.01     $57.40
 12000   $0.01    $165.96</t>
        </r>
      </text>
    </comment>
    <comment ref="Z12" authorId="0">
      <text>
        <r>
          <rPr>
            <sz val="8"/>
            <color indexed="81"/>
            <rFont val="Tahoma"/>
            <family val="2"/>
          </rPr>
          <t xml:space="preserve">Desc: Ferrite: bead; Imp.@ 100MHz: 220Ω; SMD; 2A; 0805; R: 0.05Ω
Manf: MURATA
Value: 0.05Ω </t>
        </r>
      </text>
    </comment>
    <comment ref="AC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$0.77
    25   $0.07      $1.76
   100   $0.05      $4.51
   250   $0.04     $10.10
   500   $0.04     $19.10
  1000   $0.04     $35.20
  3000   $0.03     $75.30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 xml:space="preserve">Current: 2 A
Desc: Ferrite Beads Multi-Layer 220Ohm 25% 100MHz 2A 45mOhm DCR 0805 Paper T/R
Footprint: 0805
Frequency: 100 MHz
Manf: Murata
Size: L: 2 mm W: 1.25 mm H: 850 µm
Tolerance: 25 %
Value: 50 mΩ 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£0.59
   100   £0.03      £3.20
   500   £0.03     £14.50
  1000   £0.03     £25.00
  2000   £0.02     £48.00
  4000   £0.02     £92.00
 20000   £0.02    £450.00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Desc: MURATA - BLM21PG221SN1D - Ferrite Bead, 0805 [2012 Metric], 220 ohm, 2 A, BLM21, 0.045 ohm, ± 25%
Tolerance: ± 25%</t>
        </r>
      </text>
    </comment>
    <comment ref="I13" authorId="0">
      <text>
        <r>
          <rPr>
            <sz val="8"/>
            <color indexed="81"/>
            <rFont val="Tahoma"/>
            <family val="2"/>
          </rPr>
          <t>1802 In Stock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$0.17      $1.65
   100   $0.14     $13.50
   500   $0.12     $60.50
  1000   $0.10     $98.00
  2000   $0.09    $176.00
 10000   $0.08    $790.00
 25000   $0.07  $1,850.00
 50000   $0.07  $3,550.00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Desc: Headers &amp; Wire Housings 02+02 DIL VERTICAL PIN HEADER TIN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$0.19      $1.88
   100   $0.14     $14.44
   500   $0.12     $61.10
  1000   $0.10     $99.99
  5000   $0.09    $444.40
 10000   $0.08    $805.50</t>
        </r>
      </text>
    </comment>
    <comment ref="T13" authorId="0">
      <text>
        <r>
          <rPr>
            <sz val="8"/>
            <color indexed="81"/>
            <rFont val="Tahoma"/>
            <family val="2"/>
          </rPr>
          <t xml:space="preserve">Desc: 2.54mm (0.1") Pitch DIL Vertical PC Tail Pin Header, 6.1mm mating pin height, tin, 2+2 contacts
Manf: Harwin
Size: L: 5.08 mm 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£0.12     £12.30
   500   £0.10     £52.00
  1000   £0.08     £84.90
  2500   £0.08    £200.50
  5000   £0.08    £377.50
 10000   £0.07    £684.00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Desc: HARWIN - M20-9760246 - Pin Header, Board-to-Board, 2.54 mm, 2 Rows, 4 Contacts, Through Hole, M20</t>
        </r>
      </text>
    </comment>
    <comment ref="I14" authorId="0">
      <text>
        <r>
          <rPr>
            <sz val="8"/>
            <color indexed="81"/>
            <rFont val="Tahoma"/>
            <family val="2"/>
          </rPr>
          <t>12421 In Stock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$2.18      $2.18
    10   $1.84     $18.40
   100   $1.57    $157.00
   500   $1.31    $655.00
  1000   $1.12  $1,120.00
  2500   $1.08  $2,700.00
  5000   $1.05  $5,250.00
 10000   $1.04 $10,400.00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Desc: USB Connectors 4P 'B' RECEPTACLE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$2.68      $2.68
    10   $2.33     $23.31
    25   $2.23     $55.80
    40   $2.18     $87.30
   100   $2.08    $208.33
   300   $1.88    $565.46
   500   $1.74    $868.04
  1000   $1.49  $1,488.06
  2400   $1.39  $3,333.26</t>
        </r>
      </text>
    </comment>
    <comment ref="T14" authorId="0">
      <text>
        <r>
          <rPr>
            <sz val="8"/>
            <color indexed="81"/>
            <rFont val="Tahoma"/>
            <family val="2"/>
          </rPr>
          <t xml:space="preserve">Current: 1 A
Desc: Usb Connector, 4 Contact(S), Female, Right Angle, Solder Terminal, Guide Slot, Receptacle
Manf: TE Connectivity
Size: L: 15.71 mm W: 12.04 mm </t>
        </r>
      </text>
    </comment>
    <comment ref="U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$2.08      $2.08
     5   $1.75      $8.74
    20   $1.34     $26.87
   100   $1.08    $107.69
   600   $0.94    $564.24</t>
        </r>
      </text>
    </comment>
    <comment ref="Z14" authorId="0">
      <text>
        <r>
          <rPr>
            <sz val="8"/>
            <color indexed="81"/>
            <rFont val="Tahoma"/>
            <family val="2"/>
          </rPr>
          <t>Desc: Socket; USB B; THT; angled 90°; gold-plated
Manf: TE Connectivity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$1.60     $15.98
    25   $1.58     $39.55
    40   $1.57     $62.64
   100   $1.56    $155.83
   300   $1.54    $462.81
   500   $1.31    $653.05
  1000   $1.12  $1,120.30
  2400   $1.03  $2,470.08</t>
        </r>
      </text>
    </comment>
    <comment ref="AF14" authorId="0">
      <text>
        <r>
          <rPr>
            <sz val="8"/>
            <color indexed="81"/>
            <rFont val="Tahoma"/>
            <family val="2"/>
          </rPr>
          <t xml:space="preserve">Current: 1 A
Desc: Usb Connector, 4 Contact(S), Female, Right Angle, Solder Terminal, Guide Slot, Receptacle
Manf: TE Connectivity
Size: L: 15.71 mm W: 12.04 mm 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£1.08      £1.08
    10   £1.02     £10.20
   100   £0.97     £96.80
   500   £0.93    £466.50
  1000   £0.91    £914.00
  2500   £0.90  £2,240.00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Desc: AMPHENOL COMMUNICATIONS SOLUTIONS - UE27BC54130 - USB Connector, USB Type B, USB 2.0, Receptacle, 4 Ways, Through Hole Mount, Right Angle</t>
        </r>
      </text>
    </comment>
    <comment ref="I15" authorId="0">
      <text>
        <r>
          <rPr>
            <sz val="8"/>
            <color indexed="81"/>
            <rFont val="Tahoma"/>
            <family val="2"/>
          </rPr>
          <t>64220 In Stock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Desc: Thick Film Resistors - SMD 22ohm 1%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$0.45
   100   $0.02      $1.82
  1000   $0.01      $8.19
  2500   $0.01     $17.77
  5000   $0.01     $29.35
 10000   $0.01     $51.00
 25000   $0.00    $112.00
 50000   $0.00    $205.50
125000   $0.00    $503.75</t>
        </r>
      </text>
    </comment>
    <comment ref="T15" authorId="0">
      <text>
        <r>
          <rPr>
            <sz val="8"/>
            <color indexed="81"/>
            <rFont val="Tahoma"/>
            <family val="2"/>
          </rPr>
          <t>Desc: Res Thick Film 0805 22 Ohm 1% 1/8W ±100ppm/°C Molded SMD SMD Paper Tape on Plastic Reel
Footprint: 0805
Manf: Bourns
Power: 125 mW
Size: L: 2 mm W: 1.25 mm H: 600 µm
Temp_coeff: 100 ppm/°C
Tolerance: 1 %
Value: 22 ohm, 22 Ω 
Voltage: 150 V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£1.23
   500   £0.01      £4.00
  1000   £0.01      £6.60
  2500   £0.01     £14.50
  5000   £0.01     £25.00
 25000   £0.00     £95.00
 50000   £0.00    £160.00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Desc: MULTICOMP PRO - MCMR08X22R0FTL - SMD Chip Resistor, Ceramic, 22 ohm, ± 1%, 125 mW, 0805 [2012 Metric], Thick Film, Sulfur Resistant
Power: 125 mW
Temp_coeff: ± 100ppm/°C
Tolerance: ± 1%
Value: 22 ohm 
Voltage: 150 V</t>
        </r>
      </text>
    </comment>
    <comment ref="I16" authorId="0">
      <text>
        <r>
          <rPr>
            <sz val="8"/>
            <color indexed="81"/>
            <rFont val="Tahoma"/>
            <family val="2"/>
          </rPr>
          <t>143980 In Stock</t>
        </r>
      </text>
    </comment>
    <comment ref="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$1.20
  1000   $0.01      $6.00
  2500   $0.01     $12.50
  5000   $0.00     $15.00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Desc: Thick Film Resistors - SMD 1M 1%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100   $0.01      $1.03
  1000   $0.00      $4.64
  2500   $0.00     $10.07
  5000   $0.00     $16.65
 10000   $0.00     $28.90
 25000   $0.00     $63.50
 50000   $0.00    $116.50
125000   $0.00    $285.00</t>
        </r>
      </text>
    </comment>
    <comment ref="T16" authorId="0">
      <text>
        <r>
          <rPr>
            <sz val="8"/>
            <color indexed="81"/>
            <rFont val="Tahoma"/>
            <family val="2"/>
          </rPr>
          <t>Desc: Res Thick Film 0805 1M Ohm 1% 1/8W ±100ppm/°C Molded SMD SMD Paper Tape on Plastic Reel
Footprint: 0805
Manf: Bourns
Power: 125 mW
Size: L: 2 mm W: 1.25 mm H: 600 µm
Temp_coeff: 100 ppm/°C
Tolerance: 1 %
Value: 1 Mohm, 1 MΩ 
Voltage: 150 V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$0.03      $0.27
    25   $0.02      $0.62
   100   $0.01      $1.03
   250   $0.01      $2.55
   500   $0.01      $5.05
  1000   $0.01      $6.10
  5000   $0.00     $23.50
125000   $0.00    $512.50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Desc: Res Thick Film 0805 1M Ohm 1% 1/8W ±100ppm/°C Molded SMD SMD Paper Tape on Plastic Reel
Footprint: 0805
Manf: Bourns
Power: 125 mW
Size: L: 2 mm W: 1.25 mm H: 600 µm
Temp_coeff: 100 ppm/°C
Tolerance: 1 %
Value: 1 MΩ 
Voltage: 150 V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£0.29
   100   £0.01      £1.24
   500   £0.01      £4.50
  1000   £0.01      £5.60
  2500   £0.00     £11.25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Desc: BOURNS - CR0805-FX-1004ELF - SMD Chip Resistor, 1 Mohm, ± 1%, 125 mW, 0805 [2012 Metric], Thick Film, General Purpose
Power: 125 mW
Temp_coeff: ± 100ppm/°C
Tolerance: ± 1%
Value: 1 Mohm 
Voltage: 150 V</t>
        </r>
      </text>
    </comment>
    <comment ref="I17" authorId="0">
      <text>
        <r>
          <rPr>
            <sz val="8"/>
            <color indexed="81"/>
            <rFont val="Tahoma"/>
            <family val="2"/>
          </rPr>
          <t>180136 In Stock</t>
        </r>
      </text>
    </comment>
    <comment ref="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$2.91
   100   $0.18     $17.70
   500   $0.14     $72.00
  1000   $0.10    $100.00
  5000   $0.09    $465.00
 10000   $0.08    $820.00
 25000   $0.08  $2,000.00
 50000   $0.07  $3,550.00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Desc: ESD Suppressors / TVS Diodes Chip Guard 0603 5 Volts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$3.36
    25   $0.30      $7.58
   100   $0.21     $20.96
   250   $0.18     $44.12
   500   $0.14     $71.69
  1000   $0.11    $110.29
  2500   $0.10    $248.15
  5000   $0.09    $468.75
 10000   $0.09    $854.80
 25000   $0.08  $1,999.00
 50000   $0.07  $3,584.50
125000   $0.07  $8,616.25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Current: 50 nA
Desc: ESD Suppressor Multilayer Varistor 5V Automotive 2-Pin Case 0603(1608Metric) T/R
Footprint: 0603
Manf: Bourns
Size: L: 1.6 mm W: 800 µm 
Value: 500 fF 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$0.30      $3.01
    25   $0.28      $7.08
   100   $0.17     $17.03
   250   $0.17     $42.02
   500   $0.14     $68.20
  1000   $0.11    $106.90
  3000   $0.11    $317.70
  5000   $0.09    $435.50
 10000   $0.08    $800.00
 25000   $0.08  $1,910.00
 50000   $0.07  $3,375.00
125000   $0.07  $8,362.50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 xml:space="preserve">Current: 50 nA
Desc: ESD Suppressor Multilayer Varistor 5V Automotive 2-Pin Case 0603(1608Metric) T/R
Footprint: 0603
Manf: Bourns
Size: L: 1.6 mm W: 800 µm 
Value: 500 fF 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£0.25      £2.49
   100   £0.15     £14.90
   500   £0.12     £60.50
  1000   £0.08     £84.00
  2500   £0.08    £193.75
  5000   £0.07    £355.00
 25000   £0.07  £1,675.00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Desc: BOURNS - CG0603MLC-05E - TVS Varistor, 8 V, 5 V, ChipGuard MLC, 20 V, 0603 [1608 Metric], Multilayer Varistor (MLV)
Footprint: 0603 [1608 Metric]</t>
        </r>
      </text>
    </comment>
    <comment ref="I18" authorId="0">
      <text>
        <r>
          <rPr>
            <sz val="8"/>
            <color indexed="81"/>
            <rFont val="Tahoma"/>
            <family val="2"/>
          </rPr>
          <t>21526 In Stock</t>
        </r>
      </text>
    </comment>
    <comment ref="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$0.52      $5.23
   100   $0.47     $46.50
   500   $0.44    $221.00
  1000   $0.37    $372.00
  2000   $0.35    $698.00
  5000   $0.34  $1,715.00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Desc: Crystals 16     MHZ 18PF 50OHM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$0.58      $5.81
    50   $0.52     $26.13
   100   $0.46     $46.46
   500   $0.44    $220.68
  1000   $0.37    $371.68
  3000   $0.35  $1,045.35
  5000   $0.34  $1,684.20
 10000   $0.33  $3,252.20</t>
        </r>
      </text>
    </comment>
    <comment ref="T18" authorId="0">
      <text>
        <r>
          <rPr>
            <sz val="8"/>
            <color indexed="81"/>
            <rFont val="Tahoma"/>
            <family val="2"/>
          </rPr>
          <t>Desc: Crystal 16MHz ±20ppm (Tol) ±50ppm (Stability) 18pF FUND 40Ohm 2-Pin Mini-CSMD T/R
Footprint: CSMD
Frequency: 16 MHz
Manf: Abracon
Size: L: 5 mm W: 3.2 mm H: 1.3 mm
Tolerance: 0.002 %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$1.34     $13.38
    25   $1.29     $32.21
   100   $1.09    $108.54
   250   $0.69    $173.00
  1000   $0.52    $520.80
  2000   $0.52  $1,031.20
  3000   $0.51  $1,531.20
  4000   $0.51  $2,021.20
  5000   $0.50  $2,501.50
 10000   $0.50  $4,952.00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Desc: Crystal 16MHz ±20ppm (Tol) ±50ppm (Stability) 18pF FUND 40Ohm 2-Pin Mini-CSMD T/R
Footprint: CSMD
Frequency: 16 MHz
Manf: Abracon
Size: L: 5 mm W: 3.2 mm H: 1.3 mm
Tolerance: 0.002 %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£0.54      £0.54
    50   £0.53     £26.55
   100   £0.52     £52.20
   250   £0.51    £128.00
   500   £0.50    £250.50</t>
        </r>
      </text>
    </comment>
    <comment ref="AL18" authorId="0">
      <text>
        <r>
          <rPr>
            <sz val="8"/>
            <color indexed="81"/>
            <rFont val="Tahoma"/>
            <family val="2"/>
          </rPr>
          <t>Desc: ABRACON - ABM3-16.000MHZ-B2-T - Crystal, 16 MHz, SMD, 5mm x 3.2mm, 50 ppm, 18 pF, 20 ppm, ABM3</t>
        </r>
      </text>
    </comment>
    <comment ref="G2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2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<sst xmlns="http://schemas.openxmlformats.org/spreadsheetml/2006/main" count="1551" uniqueCount="774">
  <si>
    <t>References</t>
  </si>
  <si>
    <t>Part</t>
  </si>
  <si>
    <t>Value</t>
  </si>
  <si>
    <t>Quantity Per PCB</t>
  </si>
  <si>
    <t>Manufacturer</t>
  </si>
  <si>
    <t>Manufacturer P/N</t>
  </si>
  <si>
    <t>digikey#</t>
  </si>
  <si>
    <t>C2 C6-C8</t>
  </si>
  <si>
    <t>C</t>
  </si>
  <si>
    <t>100nF</t>
  </si>
  <si>
    <t>4</t>
  </si>
  <si>
    <t>KEMET</t>
  </si>
  <si>
    <t>C0805C104K5RAC7800</t>
  </si>
  <si>
    <t>399-C0805C104K5RAC7800CT-ND</t>
  </si>
  <si>
    <t>C5</t>
  </si>
  <si>
    <t>1uF</t>
  </si>
  <si>
    <t>1</t>
  </si>
  <si>
    <t>C0805C105K3RAC7800</t>
  </si>
  <si>
    <t>399-C0805C105K3RAC7800CT-ND</t>
  </si>
  <si>
    <t>C1</t>
  </si>
  <si>
    <t>C_Polarized</t>
  </si>
  <si>
    <t>47uF</t>
  </si>
  <si>
    <t>Vishay</t>
  </si>
  <si>
    <t>MAL215371479E3</t>
  </si>
  <si>
    <t>BC5168CT-ND</t>
  </si>
  <si>
    <t>D1</t>
  </si>
  <si>
    <t>D</t>
  </si>
  <si>
    <t>CD1206-S01575</t>
  </si>
  <si>
    <t>Bourns</t>
  </si>
  <si>
    <t>CD1206-S01575CT-ND</t>
  </si>
  <si>
    <t>D2 D3</t>
  </si>
  <si>
    <t>LED</t>
  </si>
  <si>
    <t>2</t>
  </si>
  <si>
    <t>OSRAM</t>
  </si>
  <si>
    <t>LG R971-KN-1</t>
  </si>
  <si>
    <t>475-1410-1-ND</t>
  </si>
  <si>
    <t>J1</t>
  </si>
  <si>
    <t>Barrel_Jack_Switch</t>
  </si>
  <si>
    <t>Würth Elektronik</t>
  </si>
  <si>
    <t>694106106102</t>
  </si>
  <si>
    <t>732-5929-1-ND</t>
  </si>
  <si>
    <t>J5</t>
  </si>
  <si>
    <t>Conn_02x03_Odd_Even</t>
  </si>
  <si>
    <t>ICSP1</t>
  </si>
  <si>
    <t>Harwin</t>
  </si>
  <si>
    <t>M20-9980346</t>
  </si>
  <si>
    <t>952-2121-ND</t>
  </si>
  <si>
    <t>J3</t>
  </si>
  <si>
    <t>Conn_01x05_Male</t>
  </si>
  <si>
    <t>P1</t>
  </si>
  <si>
    <t>M20-9990546</t>
  </si>
  <si>
    <t>952-2268-ND</t>
  </si>
  <si>
    <t>J6</t>
  </si>
  <si>
    <t>Conn_01x06_Male</t>
  </si>
  <si>
    <t>P2</t>
  </si>
  <si>
    <t>M20-9990646</t>
  </si>
  <si>
    <t>952-2270-ND</t>
  </si>
  <si>
    <t>R5-R7</t>
  </si>
  <si>
    <t>R</t>
  </si>
  <si>
    <t>1K</t>
  </si>
  <si>
    <t>3</t>
  </si>
  <si>
    <t>CR0805-FX-1001ELF</t>
  </si>
  <si>
    <t>CR0805-FX-1001ELFCT-ND</t>
  </si>
  <si>
    <t>R4</t>
  </si>
  <si>
    <t>10K</t>
  </si>
  <si>
    <t>CR0805-FX-1002ELF</t>
  </si>
  <si>
    <t>CR0805-FX-1002ELFCT-ND</t>
  </si>
  <si>
    <t>U1</t>
  </si>
  <si>
    <t>ATmega8U2-A</t>
  </si>
  <si>
    <t>ATmega8U2-AU</t>
  </si>
  <si>
    <t>Microchip</t>
  </si>
  <si>
    <t>ATMEGA8U2-AU</t>
  </si>
  <si>
    <t>ATMEGA8U2-AU-ND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</si>
  <si>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</si>
  <si>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</si>
  <si>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</si>
  <si>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</si>
  <si>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</si>
  <si>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</si>
  <si>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</si>
  <si>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</si>
  <si>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</si>
  <si>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</si>
  <si>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</si>
  <si>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</si>
  <si>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</si>
  <si>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Fitted Components:</t>
  </si>
  <si>
    <t>Number of PCBs:</t>
  </si>
  <si>
    <t>Total Components:</t>
  </si>
  <si>
    <t>C3 C4</t>
  </si>
  <si>
    <t>22pF</t>
  </si>
  <si>
    <t>C0805C220J5GAC7800</t>
  </si>
  <si>
    <t>399-C0805C220J5GAC7800CT-ND</t>
  </si>
  <si>
    <t>F1</t>
  </si>
  <si>
    <t>Polyfuse</t>
  </si>
  <si>
    <t>MF-MSMF050-2</t>
  </si>
  <si>
    <t>MF-MSMF050-2CT-ND</t>
  </si>
  <si>
    <t>FB1</t>
  </si>
  <si>
    <t>FerriteBead</t>
  </si>
  <si>
    <t>BLM21PG221SN1D</t>
  </si>
  <si>
    <t>Murata</t>
  </si>
  <si>
    <t>490-1054-1-ND</t>
  </si>
  <si>
    <t>J4</t>
  </si>
  <si>
    <t>Conn_02x02_Odd_Even</t>
  </si>
  <si>
    <t>2x2M</t>
  </si>
  <si>
    <t>M20-9980246</t>
  </si>
  <si>
    <t>M20-9980246-ND</t>
  </si>
  <si>
    <t>J2</t>
  </si>
  <si>
    <t>USB_B</t>
  </si>
  <si>
    <t>TE Connectivity AMP Connectors</t>
  </si>
  <si>
    <t>292304-1</t>
  </si>
  <si>
    <t>A31725-ND</t>
  </si>
  <si>
    <t>R1 R2</t>
  </si>
  <si>
    <t>22R</t>
  </si>
  <si>
    <t>CR0805-FX-22R0ELF</t>
  </si>
  <si>
    <t>CR0805-FX-22R0ELFCT-ND</t>
  </si>
  <si>
    <t>R3</t>
  </si>
  <si>
    <t>1M</t>
  </si>
  <si>
    <t>CR0805-FX-1004ELF</t>
  </si>
  <si>
    <t>CR0805-FX-1004ELFCT-ND</t>
  </si>
  <si>
    <t>VR1 VR2</t>
  </si>
  <si>
    <t>Varistor</t>
  </si>
  <si>
    <t>CG0603MLC-05E</t>
  </si>
  <si>
    <t>CG0603MLC-05ECT-ND</t>
  </si>
  <si>
    <t>Y1</t>
  </si>
  <si>
    <t>Crystal</t>
  </si>
  <si>
    <t>16MHz</t>
  </si>
  <si>
    <t>Abracon</t>
  </si>
  <si>
    <t>ABM3-16.000MHZ-B2-T</t>
  </si>
  <si>
    <t>535-9103-1-ND</t>
  </si>
  <si>
    <t>Global Part Info</t>
  </si>
  <si>
    <t>Footprint</t>
  </si>
  <si>
    <t>Build Quantity</t>
  </si>
  <si>
    <t>Unit$</t>
  </si>
  <si>
    <t>Ext$</t>
  </si>
  <si>
    <t>C_0805_2012Metric</t>
  </si>
  <si>
    <t>CP_Elec_8x10</t>
  </si>
  <si>
    <t>D_1206_3216Metric</t>
  </si>
  <si>
    <t>LED_0805_2012Metric</t>
  </si>
  <si>
    <t>BarrelJack_CLIFF_FC681465S_SMT_Horizontal</t>
  </si>
  <si>
    <t>PinHeader_2x03_P2.54mm_Vertical</t>
  </si>
  <si>
    <t>PinHeader_1x05_P2.54mm_Vertical</t>
  </si>
  <si>
    <t>PinHeader_1x06_P2.54mm_Vertical</t>
  </si>
  <si>
    <t>R_0805_2012Metric</t>
  </si>
  <si>
    <t>TQFP-32_7x7mm_P0.8mm</t>
  </si>
  <si>
    <t>Mouser</t>
  </si>
  <si>
    <t>Avail</t>
  </si>
  <si>
    <t>Purch</t>
  </si>
  <si>
    <t>MOQ</t>
  </si>
  <si>
    <t>Cat#</t>
  </si>
  <si>
    <t>80-C0805C104K5R7800</t>
  </si>
  <si>
    <t>N/A</t>
  </si>
  <si>
    <t>NonStk</t>
  </si>
  <si>
    <t>594-MAL215371479E3</t>
  </si>
  <si>
    <t>652-CD1206-S01575</t>
  </si>
  <si>
    <t>720-LGR971-KN-1</t>
  </si>
  <si>
    <t>710-694106106102</t>
  </si>
  <si>
    <t>855-M20-9980346</t>
  </si>
  <si>
    <t>855-M20-9990546</t>
  </si>
  <si>
    <t>855-M20-9990646</t>
  </si>
  <si>
    <t>652-CR0805FX-1001ELF</t>
  </si>
  <si>
    <t>652-CR0805FX-1002ELF</t>
  </si>
  <si>
    <t>556-ATMEGA8U2-AU</t>
  </si>
  <si>
    <t>Buy here</t>
  </si>
  <si>
    <t>Digi-Key</t>
  </si>
  <si>
    <t>399-C0805C104K5RAC7800TR-ND</t>
  </si>
  <si>
    <t>399-C0805C105K3RAC7800TR-ND</t>
  </si>
  <si>
    <t>732-5929-2-ND</t>
  </si>
  <si>
    <t>CR0805-FX-1001ELFTR-ND</t>
  </si>
  <si>
    <t>CR0805-FX-1002ELFTR-ND</t>
  </si>
  <si>
    <t>TME</t>
  </si>
  <si>
    <t>C0805C104K5RAC</t>
  </si>
  <si>
    <t>C0805C105K3RAC</t>
  </si>
  <si>
    <t>Arrow</t>
  </si>
  <si>
    <t>C0805C104K5RACTU</t>
  </si>
  <si>
    <t>C0805C105K3RACTU</t>
  </si>
  <si>
    <t>Farnell</t>
  </si>
  <si>
    <t>1414664</t>
  </si>
  <si>
    <t>1637035</t>
  </si>
  <si>
    <t>1187023</t>
  </si>
  <si>
    <t>2211947</t>
  </si>
  <si>
    <t>2472148</t>
  </si>
  <si>
    <t>1022231</t>
  </si>
  <si>
    <t>1022253</t>
  </si>
  <si>
    <t>1022255</t>
  </si>
  <si>
    <t>2008380</t>
  </si>
  <si>
    <t>1612522</t>
  </si>
  <si>
    <t>1748535</t>
  </si>
  <si>
    <t>Total Purchase:</t>
  </si>
  <si>
    <t>Purchase description:</t>
  </si>
  <si>
    <t>Used currency rates:</t>
  </si>
  <si>
    <t>USD($)/GBP(£):</t>
  </si>
  <si>
    <t>Board Qty:</t>
  </si>
  <si>
    <t>Total Cost:</t>
  </si>
  <si>
    <t>Unit Cost:</t>
  </si>
  <si>
    <t>Created:</t>
  </si>
  <si>
    <t>2022-12-15 14:19:58</t>
  </si>
  <si>
    <t>KiCost® v1.1.15 + KiBot v1.4.1</t>
  </si>
  <si>
    <t>R_1812_4532Metric</t>
  </si>
  <si>
    <t>PinHeader_2x02_P2.54mm_Vertical</t>
  </si>
  <si>
    <t>USB_B_Lumberg_2411_02_Horizontal</t>
  </si>
  <si>
    <t>R_0603_1608Metric</t>
  </si>
  <si>
    <t>Crystal_SMD_Abracon_ABM3-2Pin_5.0x3.2mm</t>
  </si>
  <si>
    <t>652-MF-MSMF050-2</t>
  </si>
  <si>
    <t>81-BLM21P221SG</t>
  </si>
  <si>
    <t>855-M20-9980246</t>
  </si>
  <si>
    <t>571-292304-1</t>
  </si>
  <si>
    <t>652-CR0805FX-22R0ELF</t>
  </si>
  <si>
    <t>652-CR0805FX-1004ELF</t>
  </si>
  <si>
    <t>652-CG0603MLC-05E</t>
  </si>
  <si>
    <t>815-ABM3-16-B2-T</t>
  </si>
  <si>
    <t>399-C0805C220J5GAC7800TR-ND</t>
  </si>
  <si>
    <t>MF-MSMF050-2TR-ND</t>
  </si>
  <si>
    <t>490-1054-2-ND</t>
  </si>
  <si>
    <t>CR0805-FX-22R0ELFTR-ND</t>
  </si>
  <si>
    <t>CR0805-FX-1004ELFTR-ND</t>
  </si>
  <si>
    <t>CG0603MLC-05ETR-ND</t>
  </si>
  <si>
    <t>535-9103-2-ND</t>
  </si>
  <si>
    <t>C0805C220J5GAC</t>
  </si>
  <si>
    <t>C0805C220J5GACTU</t>
  </si>
  <si>
    <t>1414678</t>
  </si>
  <si>
    <t>9350314</t>
  </si>
  <si>
    <t>1515661</t>
  </si>
  <si>
    <t>3225986</t>
  </si>
  <si>
    <t>3882721</t>
  </si>
  <si>
    <t>2073701</t>
  </si>
  <si>
    <t>2333577</t>
  </si>
  <si>
    <t>1838966</t>
  </si>
  <si>
    <t>1611806</t>
  </si>
  <si>
    <t>2022-12-15 14:20:39</t>
  </si>
  <si>
    <t>Contact Plating</t>
  </si>
  <si>
    <t>Max Operating Temperature</t>
  </si>
  <si>
    <t>Min Operating Temperature</t>
  </si>
  <si>
    <t>RoHS</t>
  </si>
  <si>
    <t>Mount</t>
  </si>
  <si>
    <t>Product Range</t>
  </si>
  <si>
    <t>REACH SVHC</t>
  </si>
  <si>
    <t>SVHC</t>
  </si>
  <si>
    <t>Case/Package</t>
  </si>
  <si>
    <t>Height</t>
  </si>
  <si>
    <t>Length</t>
  </si>
  <si>
    <t>Number of Pins</t>
  </si>
  <si>
    <t>Packaging</t>
  </si>
  <si>
    <t>Radiation Hardening</t>
  </si>
  <si>
    <t>Termination</t>
  </si>
  <si>
    <t>Voltage Rating</t>
  </si>
  <si>
    <t>Voltage Rating (DC)</t>
  </si>
  <si>
    <t>Depth</t>
  </si>
  <si>
    <t>Schedule B</t>
  </si>
  <si>
    <t>Width</t>
  </si>
  <si>
    <t>Contact Material</t>
  </si>
  <si>
    <t>Operating Temperature Max</t>
  </si>
  <si>
    <t>Qualification</t>
  </si>
  <si>
    <t>Case Code (Imperial)</t>
  </si>
  <si>
    <t>Case Code (Metric)</t>
  </si>
  <si>
    <t>Operating Temperature Min</t>
  </si>
  <si>
    <t>Color</t>
  </si>
  <si>
    <t>Current Rating</t>
  </si>
  <si>
    <t>Product Length</t>
  </si>
  <si>
    <t>Product Width</t>
  </si>
  <si>
    <t>Temperature Coefficient</t>
  </si>
  <si>
    <t>Tolerance</t>
  </si>
  <si>
    <t>Connector Type</t>
  </si>
  <si>
    <t>Contact Termination Type</t>
  </si>
  <si>
    <t>Gender</t>
  </si>
  <si>
    <t>Housing Material</t>
  </si>
  <si>
    <t>Insulation Resistance</t>
  </si>
  <si>
    <t>Lead Pitch</t>
  </si>
  <si>
    <t>MSL</t>
  </si>
  <si>
    <t>Number of Contacts</t>
  </si>
  <si>
    <t>Power Rating</t>
  </si>
  <si>
    <t>Thickness</t>
  </si>
  <si>
    <t>Voltage Rating (AC)</t>
  </si>
  <si>
    <t>Capacitance</t>
  </si>
  <si>
    <t>Capacitance Tolerance</t>
  </si>
  <si>
    <t>Capacitor Case / Package</t>
  </si>
  <si>
    <t>Capacitor Terminals</t>
  </si>
  <si>
    <t>Connector Shroud</t>
  </si>
  <si>
    <t>Connector Systems</t>
  </si>
  <si>
    <t>Contact Mating Length</t>
  </si>
  <si>
    <t>Contact Resistance</t>
  </si>
  <si>
    <t>Dielectric Material</t>
  </si>
  <si>
    <t>Housing Color</t>
  </si>
  <si>
    <t>Max Current Rating</t>
  </si>
  <si>
    <t>Mounting</t>
  </si>
  <si>
    <t>No. of Contacts</t>
  </si>
  <si>
    <t>No. of Rows</t>
  </si>
  <si>
    <t>Number of Positions</t>
  </si>
  <si>
    <t>Number of Rows</t>
  </si>
  <si>
    <t>Operating temperature</t>
  </si>
  <si>
    <t>Orientation</t>
  </si>
  <si>
    <t>Pitch</t>
  </si>
  <si>
    <t>Pitch Spacing</t>
  </si>
  <si>
    <t>Series Name</t>
  </si>
  <si>
    <t>Voltage(DC)</t>
  </si>
  <si>
    <t>Alias</t>
  </si>
  <si>
    <t>Case - inch</t>
  </si>
  <si>
    <t>Case - mm</t>
  </si>
  <si>
    <t>Ceramic Capacitor Case</t>
  </si>
  <si>
    <t>Composition</t>
  </si>
  <si>
    <t>Dielectric</t>
  </si>
  <si>
    <t>Dielectric Characteristic</t>
  </si>
  <si>
    <t>Features</t>
  </si>
  <si>
    <t>Forward Current</t>
  </si>
  <si>
    <t>Forward Voltage</t>
  </si>
  <si>
    <t>Kind of capacitor</t>
  </si>
  <si>
    <t>Lifecycle Status</t>
  </si>
  <si>
    <t>Material</t>
  </si>
  <si>
    <t>Max Power Dissipation</t>
  </si>
  <si>
    <t>No. of Pins</t>
  </si>
  <si>
    <t>Number of Terminations</t>
  </si>
  <si>
    <t>Operating voltage</t>
  </si>
  <si>
    <t>Power Dissipation</t>
  </si>
  <si>
    <t>Resistance</t>
  </si>
  <si>
    <t>Resistance Tolerance</t>
  </si>
  <si>
    <t>Resistor Case / Package</t>
  </si>
  <si>
    <t>Resistor Technology</t>
  </si>
  <si>
    <t>Resistor Type</t>
  </si>
  <si>
    <t>Reverse Recovery Time</t>
  </si>
  <si>
    <t>Ripple Current</t>
  </si>
  <si>
    <t>Type of capacitor</t>
  </si>
  <si>
    <t>Voltage</t>
  </si>
  <si>
    <t>AE Capacitor Case</t>
  </si>
  <si>
    <t>Average Forward Current</t>
  </si>
  <si>
    <t>Average Rectified Current</t>
  </si>
  <si>
    <t>Barrel Inner Diameter</t>
  </si>
  <si>
    <t>Barrel Length</t>
  </si>
  <si>
    <t>Barrel Outer Diameter</t>
  </si>
  <si>
    <t>CPU Speed</t>
  </si>
  <si>
    <t>Case</t>
  </si>
  <si>
    <t>Clock frequency</t>
  </si>
  <si>
    <t>Connector Mounting</t>
  </si>
  <si>
    <t>Contact Gender</t>
  </si>
  <si>
    <t>Core Architecture</t>
  </si>
  <si>
    <t>Data Bus Width</t>
  </si>
  <si>
    <t>Device Core</t>
  </si>
  <si>
    <t>Diameter</t>
  </si>
  <si>
    <t>Diode Case Style</t>
  </si>
  <si>
    <t>Diode Configuration</t>
  </si>
  <si>
    <t>Dissipation Factor</t>
  </si>
  <si>
    <t>Dominant Wavelength</t>
  </si>
  <si>
    <t>EEPROM memory capacity</t>
  </si>
  <si>
    <t>ESR</t>
  </si>
  <si>
    <t>ESR (Equivalent Series Resistance)</t>
  </si>
  <si>
    <t>Element Configuration</t>
  </si>
  <si>
    <t>Embedded Interface Type</t>
  </si>
  <si>
    <t>Family</t>
  </si>
  <si>
    <t>Flammability Rating</t>
  </si>
  <si>
    <t>Flash memory capacity</t>
  </si>
  <si>
    <t>Forward Surge Current</t>
  </si>
  <si>
    <t>Forward Voltage Max</t>
  </si>
  <si>
    <t>Frequency</t>
  </si>
  <si>
    <t>Height - Seated (Max)</t>
  </si>
  <si>
    <t>IC Case / Package</t>
  </si>
  <si>
    <t>IC Mounting</t>
  </si>
  <si>
    <t>Illumination Color</t>
  </si>
  <si>
    <t>Integrated circuit features</t>
  </si>
  <si>
    <t>Interface</t>
  </si>
  <si>
    <t>Interfaces</t>
  </si>
  <si>
    <t>Kind of package</t>
  </si>
  <si>
    <t>Lead Free</t>
  </si>
  <si>
    <t>Lens Color</t>
  </si>
  <si>
    <t>Lens Style</t>
  </si>
  <si>
    <t>Lens Transparency</t>
  </si>
  <si>
    <t>Life (Hours)</t>
  </si>
  <si>
    <t>Lifetime @ Temperature</t>
  </si>
  <si>
    <t>Luminous Flux</t>
  </si>
  <si>
    <t>Luminous Intensity</t>
  </si>
  <si>
    <t>MCU Applications</t>
  </si>
  <si>
    <t>MCU Case Style</t>
  </si>
  <si>
    <t>MCU Core Size</t>
  </si>
  <si>
    <t>MCU Family</t>
  </si>
  <si>
    <t>MCU Series</t>
  </si>
  <si>
    <t>Max Forward Surge Current (Ifsm)</t>
  </si>
  <si>
    <t>Max Frequency</t>
  </si>
  <si>
    <t>Max Junction Temperature (Tj)</t>
  </si>
  <si>
    <t>Max Repetitive Reverse Voltage (Vrrm)</t>
  </si>
  <si>
    <t>Max Reverse Leakage Current</t>
  </si>
  <si>
    <t>Max Reverse Voltage (DC)</t>
  </si>
  <si>
    <t>Max Supply Voltage</t>
  </si>
  <si>
    <t>Max Surge Current</t>
  </si>
  <si>
    <t>Memory Size</t>
  </si>
  <si>
    <t>Memory Type</t>
  </si>
  <si>
    <t>Min Supply Voltage</t>
  </si>
  <si>
    <t>No. of I/O's</t>
  </si>
  <si>
    <t>Number of 16bit timers</t>
  </si>
  <si>
    <t>Number of 8bit timers</t>
  </si>
  <si>
    <t>Number of Elements</t>
  </si>
  <si>
    <t>Number of I/Os</t>
  </si>
  <si>
    <t>Number of LEDs</t>
  </si>
  <si>
    <t>Number of PWM Channels</t>
  </si>
  <si>
    <t>Number of PWM channels</t>
  </si>
  <si>
    <t>Number of Programmable I/O</t>
  </si>
  <si>
    <t>Number of SPI Channels</t>
  </si>
  <si>
    <t>Number of Timers/Counters</t>
  </si>
  <si>
    <t>Number of comparators</t>
  </si>
  <si>
    <t>Number of external interrupts</t>
  </si>
  <si>
    <t>Number of input capture channels</t>
  </si>
  <si>
    <t>Number of inputs/outputs</t>
  </si>
  <si>
    <t>Number of output compare channels</t>
  </si>
  <si>
    <t>Operating Frequency Max</t>
  </si>
  <si>
    <t>Operating Supply Voltage</t>
  </si>
  <si>
    <t>Operating frequency</t>
  </si>
  <si>
    <t>Oscillator Type</t>
  </si>
  <si>
    <t>Peak Non-Repetitive Surge Current</t>
  </si>
  <si>
    <t>Peak Reverse Current</t>
  </si>
  <si>
    <t>Peripherals</t>
  </si>
  <si>
    <t>Pin Diameter</t>
  </si>
  <si>
    <t>Polarity</t>
  </si>
  <si>
    <t>Product Diameter</t>
  </si>
  <si>
    <t>Product Height</t>
  </si>
  <si>
    <t>Program Memory Size</t>
  </si>
  <si>
    <t>RAM Memory Size</t>
  </si>
  <si>
    <t>RAM Size</t>
  </si>
  <si>
    <t>Recovery Time</t>
  </si>
  <si>
    <t>Repetitive Peak Reverse Voltage</t>
  </si>
  <si>
    <t>Reverse Voltage</t>
  </si>
  <si>
    <t>Ripple Current (AC)</t>
  </si>
  <si>
    <t>Ripple Current AC</t>
  </si>
  <si>
    <t>Row Spacing</t>
  </si>
  <si>
    <t>SRAM memory capacity</t>
  </si>
  <si>
    <t>Shielding</t>
  </si>
  <si>
    <t>Supply Voltage Max</t>
  </si>
  <si>
    <t>Supply Voltage Min</t>
  </si>
  <si>
    <t>Supply voltage</t>
  </si>
  <si>
    <t>Terminal pitch</t>
  </si>
  <si>
    <t>Test Current</t>
  </si>
  <si>
    <t>Type of integrated circuit</t>
  </si>
  <si>
    <t>USB speed</t>
  </si>
  <si>
    <t>Viewing Angle</t>
  </si>
  <si>
    <t>Watchdog Timer</t>
  </si>
  <si>
    <t>Wavelength</t>
  </si>
  <si>
    <t>Weight</t>
  </si>
  <si>
    <t>Compliant</t>
  </si>
  <si>
    <t>PCB, Surface Mount</t>
  </si>
  <si>
    <t>C Series KEMET</t>
  </si>
  <si>
    <t>No SVHC (10-Jun-2022)</t>
  </si>
  <si>
    <t>900 µm</t>
  </si>
  <si>
    <t>2 mm</t>
  </si>
  <si>
    <t>Cut Tape</t>
  </si>
  <si>
    <t>SMD/SMT</t>
  </si>
  <si>
    <t>1.25 mm</t>
  </si>
  <si>
    <t>1.2 mm</t>
  </si>
  <si>
    <t>125 °C</t>
  </si>
  <si>
    <t>-</t>
  </si>
  <si>
    <t>-55 °C</t>
  </si>
  <si>
    <t>2.01 mm</t>
  </si>
  <si>
    <t>10 %</t>
  </si>
  <si>
    <t>MSL 1 - Unlimited</t>
  </si>
  <si>
    <t>889 µm</t>
  </si>
  <si>
    <t>100 nF</t>
  </si>
  <si>
    <t>± 10%</t>
  </si>
  <si>
    <t>0805 [2012 Metric]</t>
  </si>
  <si>
    <t>SMD, Wraparound</t>
  </si>
  <si>
    <t>SMD</t>
  </si>
  <si>
    <t>-55...125°C</t>
  </si>
  <si>
    <t>50 V</t>
  </si>
  <si>
    <t>0805</t>
  </si>
  <si>
    <t>2012</t>
  </si>
  <si>
    <t>X7R</t>
  </si>
  <si>
    <t>MLCC</t>
  </si>
  <si>
    <t>Ceramic</t>
  </si>
  <si>
    <t>50V DC</t>
  </si>
  <si>
    <t>ceramic</t>
  </si>
  <si>
    <t>500 V</t>
  </si>
  <si>
    <t>Digi-Reel®</t>
  </si>
  <si>
    <t>1.2446 mm</t>
  </si>
  <si>
    <t>1.397 mm</t>
  </si>
  <si>
    <t>1 µF</t>
  </si>
  <si>
    <t>Wraparound</t>
  </si>
  <si>
    <t>25 V</t>
  </si>
  <si>
    <t>25V DC</t>
  </si>
  <si>
    <t>Surface Mount</t>
  </si>
  <si>
    <t>153 CRV</t>
  </si>
  <si>
    <t>10 mm</t>
  </si>
  <si>
    <t>8.6 mm</t>
  </si>
  <si>
    <t>105 °C</t>
  </si>
  <si>
    <t>20 %</t>
  </si>
  <si>
    <t>47 µF</t>
  </si>
  <si>
    <t>± 20%</t>
  </si>
  <si>
    <t>Radial Can - SMD, 0</t>
  </si>
  <si>
    <t>180 mA</t>
  </si>
  <si>
    <t>Radial Can - SMD</t>
  </si>
  <si>
    <t>8 mm</t>
  </si>
  <si>
    <t>0.5 ohm</t>
  </si>
  <si>
    <t>3000 hours @ 105°C</t>
  </si>
  <si>
    <t>Polar</t>
  </si>
  <si>
    <t>YES, Compliant</t>
  </si>
  <si>
    <t>CD1206, LL414</t>
  </si>
  <si>
    <t>No SVHC (27-Jun-2018), No SVHC (17-Jan-2022)</t>
  </si>
  <si>
    <t>950 µm</t>
  </si>
  <si>
    <t>3.4 mm</t>
  </si>
  <si>
    <t>1.7 mm</t>
  </si>
  <si>
    <t>125 °C, 175 °C</t>
  </si>
  <si>
    <t>2 Pins</t>
  </si>
  <si>
    <t>4 ns, 8 ns</t>
  </si>
  <si>
    <t>150 mA</t>
  </si>
  <si>
    <t>1206, SOD-80 (MiniMELF)</t>
  </si>
  <si>
    <t>Single</t>
  </si>
  <si>
    <t>4 A, 2 A</t>
  </si>
  <si>
    <t>1 V</t>
  </si>
  <si>
    <t>100 V</t>
  </si>
  <si>
    <t>Tape and Reel</t>
  </si>
  <si>
    <t>1.35 mm</t>
  </si>
  <si>
    <t>Green</t>
  </si>
  <si>
    <t>570 nm</t>
  </si>
  <si>
    <t>No SVHC (17-Jan-2022)</t>
  </si>
  <si>
    <t>11.5 mm</t>
  </si>
  <si>
    <t>24 V</t>
  </si>
  <si>
    <t>Black</t>
  </si>
  <si>
    <t>5 A</t>
  </si>
  <si>
    <t>Male</t>
  </si>
  <si>
    <t>6.4 mm</t>
  </si>
  <si>
    <t>Surface Mount, PCB Mount</t>
  </si>
  <si>
    <t>Unshielded</t>
  </si>
  <si>
    <t>Tin Plated Contacts</t>
  </si>
  <si>
    <t>Through Hole</t>
  </si>
  <si>
    <t>M20, M20 Series</t>
  </si>
  <si>
    <t>8.99 mm</t>
  </si>
  <si>
    <t>7.62 mm</t>
  </si>
  <si>
    <t>Solder</t>
  </si>
  <si>
    <t>5.08 mm</t>
  </si>
  <si>
    <t>Phosphor Bronze, Brass</t>
  </si>
  <si>
    <t>Unshrouded</t>
  </si>
  <si>
    <t>Board-to-Board</t>
  </si>
  <si>
    <t>6 Contacts</t>
  </si>
  <si>
    <t>2 Rows</t>
  </si>
  <si>
    <t>Straight</t>
  </si>
  <si>
    <t>2.54 mm</t>
  </si>
  <si>
    <t>12.7 mm</t>
  </si>
  <si>
    <t>Bulk</t>
  </si>
  <si>
    <t>5 Contacts</t>
  </si>
  <si>
    <t>1 Rows</t>
  </si>
  <si>
    <t>15.24 mm</t>
  </si>
  <si>
    <t>Brass</t>
  </si>
  <si>
    <t>347.990396 mg</t>
  </si>
  <si>
    <t>CR, CR Series</t>
  </si>
  <si>
    <t>500 µm</t>
  </si>
  <si>
    <t>150 V</t>
  </si>
  <si>
    <t>155 °C</t>
  </si>
  <si>
    <t>± 100ppm/°C</t>
  </si>
  <si>
    <t>1 %</t>
  </si>
  <si>
    <t>125 mW</t>
  </si>
  <si>
    <t>508 µm</t>
  </si>
  <si>
    <t>Thick Film</t>
  </si>
  <si>
    <t>Moisture Resistant</t>
  </si>
  <si>
    <t>1 kΩ</t>
  </si>
  <si>
    <t>± 1%</t>
  </si>
  <si>
    <t>General Purpose</t>
  </si>
  <si>
    <t>10 kΩ</t>
  </si>
  <si>
    <t>AVR ATmega Family ATmega8 Series Microcontrollers</t>
  </si>
  <si>
    <t>1.05 mm</t>
  </si>
  <si>
    <t>7 mm</t>
  </si>
  <si>
    <t>85 °C</t>
  </si>
  <si>
    <t>-40 °C</t>
  </si>
  <si>
    <t>MSL 3 - 168 hours</t>
  </si>
  <si>
    <t>MICROCHIP (ATMEL)</t>
  </si>
  <si>
    <t>-40...85°C</t>
  </si>
  <si>
    <t>32 Pins</t>
  </si>
  <si>
    <t>16 MHz</t>
  </si>
  <si>
    <t>TQFP32</t>
  </si>
  <si>
    <t>megaAVR</t>
  </si>
  <si>
    <t>512B</t>
  </si>
  <si>
    <t>I2C, SPI, UART, USART</t>
  </si>
  <si>
    <t>ATMEGA</t>
  </si>
  <si>
    <t>8kB</t>
  </si>
  <si>
    <t>TQFP</t>
  </si>
  <si>
    <t>watchdog</t>
  </si>
  <si>
    <t>SPI, UART, USART, USB</t>
  </si>
  <si>
    <t>in-tray</t>
  </si>
  <si>
    <t>USB Microcontroller</t>
  </si>
  <si>
    <t>8 bit</t>
  </si>
  <si>
    <t>AVR ATmega</t>
  </si>
  <si>
    <t>ATmega8</t>
  </si>
  <si>
    <t>22 I/O's</t>
  </si>
  <si>
    <t>20</t>
  </si>
  <si>
    <t>22</t>
  </si>
  <si>
    <t>5</t>
  </si>
  <si>
    <t>Brown-out Detect/Reset, POR, PWM, WDT</t>
  </si>
  <si>
    <t>8 KB</t>
  </si>
  <si>
    <t>512 Byte</t>
  </si>
  <si>
    <t>5.5 V</t>
  </si>
  <si>
    <t>2.7 V</t>
  </si>
  <si>
    <t>2.7...5.5V DC</t>
  </si>
  <si>
    <t>0.8mm</t>
  </si>
  <si>
    <t>AVR microcontroller</t>
  </si>
  <si>
    <t>Full Speed</t>
  </si>
  <si>
    <t>Military Standard</t>
  </si>
  <si>
    <t>Automotive Qualification Standard</t>
  </si>
  <si>
    <t>Load Capacitance</t>
  </si>
  <si>
    <t>Number of Circuits</t>
  </si>
  <si>
    <t>Series Resistance</t>
  </si>
  <si>
    <t>Time to Trip</t>
  </si>
  <si>
    <t>Accuracy</t>
  </si>
  <si>
    <t>Ambient Temperature Range High</t>
  </si>
  <si>
    <t>Approvals</t>
  </si>
  <si>
    <t>Circuit Application</t>
  </si>
  <si>
    <t>Clamping Voltage</t>
  </si>
  <si>
    <t>Clamping Voltage Vc Max</t>
  </si>
  <si>
    <t>Connector</t>
  </si>
  <si>
    <t>Contact Plating, Contact plating</t>
  </si>
  <si>
    <t>Core Material</t>
  </si>
  <si>
    <t>Crystal Case</t>
  </si>
  <si>
    <t>Current</t>
  </si>
  <si>
    <t>Current Rating Max</t>
  </si>
  <si>
    <t>Current rating</t>
  </si>
  <si>
    <t>DC Current</t>
  </si>
  <si>
    <t>DC Current Rating</t>
  </si>
  <si>
    <t>DC Resistance (DCR)</t>
  </si>
  <si>
    <t>DC Resistance Max</t>
  </si>
  <si>
    <t>Electrical mounting</t>
  </si>
  <si>
    <t>Ferrite Bead Case / Package</t>
  </si>
  <si>
    <t>Ferrite Mounting</t>
  </si>
  <si>
    <t>Frequency Nom</t>
  </si>
  <si>
    <t>Frequency Stability</t>
  </si>
  <si>
    <t>Frequency Stability + / -</t>
  </si>
  <si>
    <t>Frequency Tolerance</t>
  </si>
  <si>
    <t>Frequency Tolerance + / -</t>
  </si>
  <si>
    <t>Fuses application</t>
  </si>
  <si>
    <t>Hold Current</t>
  </si>
  <si>
    <t>Holding Current</t>
  </si>
  <si>
    <t>Impedance</t>
  </si>
  <si>
    <t>Impedance Tolerance</t>
  </si>
  <si>
    <t>Impedance at 100MHz</t>
  </si>
  <si>
    <t>Leakage Current</t>
  </si>
  <si>
    <t>Manufacturer Lifecycle Status</t>
  </si>
  <si>
    <t>Manufacturer series</t>
  </si>
  <si>
    <t>Max DC Current</t>
  </si>
  <si>
    <t>Max RMS Current</t>
  </si>
  <si>
    <t>Max Voltage Rating (DC)</t>
  </si>
  <si>
    <t>Max resistance</t>
  </si>
  <si>
    <t>Max. voltage</t>
  </si>
  <si>
    <t>Maximum current</t>
  </si>
  <si>
    <t>Min. resistance</t>
  </si>
  <si>
    <t>No. of Positions</t>
  </si>
  <si>
    <t>Number of Channels</t>
  </si>
  <si>
    <t>Number of Lines</t>
  </si>
  <si>
    <t>Number of Ports</t>
  </si>
  <si>
    <t>Number of Terminals</t>
  </si>
  <si>
    <t>Operating current</t>
  </si>
  <si>
    <t>PPTC Case Style</t>
  </si>
  <si>
    <t>Peak Energy (10/1000uS)</t>
  </si>
  <si>
    <t>Peak Surge Current @ 8/20µs, Peak Surge Current @ 8/20µS</t>
  </si>
  <si>
    <t>Power</t>
  </si>
  <si>
    <t>RMS Current (Irms)</t>
  </si>
  <si>
    <t>Spatial orientation</t>
  </si>
  <si>
    <t>Switched current</t>
  </si>
  <si>
    <t>Terminal Material</t>
  </si>
  <si>
    <t>Test Frequency</t>
  </si>
  <si>
    <t>Thermistor Mounting</t>
  </si>
  <si>
    <t>Trip Current</t>
  </si>
  <si>
    <t>Tripping Current</t>
  </si>
  <si>
    <t>Turn-On Delay Time</t>
  </si>
  <si>
    <t>Type of connector</t>
  </si>
  <si>
    <t>Type of ferrite</t>
  </si>
  <si>
    <t>Type of fuse</t>
  </si>
  <si>
    <t>USB Connector Type</t>
  </si>
  <si>
    <t>USB Standard</t>
  </si>
  <si>
    <t>Varistor Case Style</t>
  </si>
  <si>
    <t>Varistor Type</t>
  </si>
  <si>
    <t>Voltage Rating V DC</t>
  </si>
  <si>
    <t>Voltage Rating VAC</t>
  </si>
  <si>
    <t>Voltage Rating VDC</t>
  </si>
  <si>
    <t>Working Voltage</t>
  </si>
  <si>
    <t>780 µm</t>
  </si>
  <si>
    <t>5 %</t>
  </si>
  <si>
    <t>22 pF</t>
  </si>
  <si>
    <t>± 5%</t>
  </si>
  <si>
    <t>C0G</t>
  </si>
  <si>
    <t>C0G / NP0</t>
  </si>
  <si>
    <t>5.499807 mg</t>
  </si>
  <si>
    <t>4.73 mm</t>
  </si>
  <si>
    <t>MF-MSMF, MF-MSMF Series</t>
  </si>
  <si>
    <t>3.41 mm</t>
  </si>
  <si>
    <t>15 VDC</t>
  </si>
  <si>
    <t>850 µm</t>
  </si>
  <si>
    <t>500mA</t>
  </si>
  <si>
    <t>BOURNS</t>
  </si>
  <si>
    <t>150 mΩ</t>
  </si>
  <si>
    <t>SMT</t>
  </si>
  <si>
    <t>AEC-Q200</t>
  </si>
  <si>
    <t>0.15 s</t>
  </si>
  <si>
    <t>CSA, TUV, UL</t>
  </si>
  <si>
    <t>1812</t>
  </si>
  <si>
    <t>100 A</t>
  </si>
  <si>
    <t>standard applications</t>
  </si>
  <si>
    <t>500 mA</t>
  </si>
  <si>
    <t>reel</t>
  </si>
  <si>
    <t>MF-SM</t>
  </si>
  <si>
    <t>1Ω</t>
  </si>
  <si>
    <t>15V</t>
  </si>
  <si>
    <t>100A</t>
  </si>
  <si>
    <t>150mΩ</t>
  </si>
  <si>
    <t>1812 (4532 Metric)</t>
  </si>
  <si>
    <t>800mW</t>
  </si>
  <si>
    <t>1A</t>
  </si>
  <si>
    <t>1 A</t>
  </si>
  <si>
    <t>PTC polymer</t>
  </si>
  <si>
    <t>BLM21, BLM21 Series</t>
  </si>
  <si>
    <t>25 %</t>
  </si>
  <si>
    <t>MURATA</t>
  </si>
  <si>
    <t>50 mΩ</t>
  </si>
  <si>
    <t>100 MHz</t>
  </si>
  <si>
    <t>Ferrite, Steel</t>
  </si>
  <si>
    <t>2 A</t>
  </si>
  <si>
    <t>0.045 ohm</t>
  </si>
  <si>
    <t>220 Ω</t>
  </si>
  <si>
    <t>± 25%</t>
  </si>
  <si>
    <t>220Ω</t>
  </si>
  <si>
    <t>2A</t>
  </si>
  <si>
    <t>0.85 mm</t>
  </si>
  <si>
    <t>bead</t>
  </si>
  <si>
    <t>M20</t>
  </si>
  <si>
    <t>-, Unshrouded</t>
  </si>
  <si>
    <t>Through Hole, Through Hole Straight</t>
  </si>
  <si>
    <t>4 Contacts</t>
  </si>
  <si>
    <t>Gold Plated Contacts, gold-plated</t>
  </si>
  <si>
    <t>15.71 mm</t>
  </si>
  <si>
    <t>UE27 Series, -</t>
  </si>
  <si>
    <t>No SVHC (08-Jul-2021), No SVHC (10-Jun-2022)</t>
  </si>
  <si>
    <t>12.04 mm</t>
  </si>
  <si>
    <t>Phosphor Bronze, Copper Alloy</t>
  </si>
  <si>
    <t>TE Connectivity</t>
  </si>
  <si>
    <t>Receptacle</t>
  </si>
  <si>
    <t>Right Angle</t>
  </si>
  <si>
    <t>socket</t>
  </si>
  <si>
    <t>Through Hole Mount</t>
  </si>
  <si>
    <t>THT</t>
  </si>
  <si>
    <t>4 Positions</t>
  </si>
  <si>
    <t>angled 90°</t>
  </si>
  <si>
    <t>USB B</t>
  </si>
  <si>
    <t>USB Type B</t>
  </si>
  <si>
    <t>USB 2.0</t>
  </si>
  <si>
    <t>-, CR0805 Series</t>
  </si>
  <si>
    <t>600 µm</t>
  </si>
  <si>
    <t>2.01 mm, 2 mm</t>
  </si>
  <si>
    <t>22 Ω</t>
  </si>
  <si>
    <t>Sulfur Resistant, General Purpose</t>
  </si>
  <si>
    <t>CR</t>
  </si>
  <si>
    <t>1 MΩ</t>
  </si>
  <si>
    <t>1.6 mm</t>
  </si>
  <si>
    <t>ChipGuard MLC, ChipGuard MLC Series</t>
  </si>
  <si>
    <t>800 µm</t>
  </si>
  <si>
    <t>500 fF</t>
  </si>
  <si>
    <t>5 V</t>
  </si>
  <si>
    <t>20 V</t>
  </si>
  <si>
    <t>0603 [1608 Metric]</t>
  </si>
  <si>
    <t>Multilayer Varistor (MLV)</t>
  </si>
  <si>
    <t>8 V</t>
  </si>
  <si>
    <t>5 mm</t>
  </si>
  <si>
    <t>ABM3, ABM3 Series</t>
  </si>
  <si>
    <t>3.2 mm</t>
  </si>
  <si>
    <t>70 °C</t>
  </si>
  <si>
    <t>-20 °C</t>
  </si>
  <si>
    <t>1.3 mm</t>
  </si>
  <si>
    <t>0.002 %</t>
  </si>
  <si>
    <t>18 pF</t>
  </si>
  <si>
    <t>SMD, 5mm x 3.2mm</t>
  </si>
  <si>
    <t>50 ppm</t>
  </si>
  <si>
    <t>20 ppm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</si>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</sst>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0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0" applyFont="1" applyAlignment="1">
      <alignment horizontal="right" vertical="center"/>
    </xf>
    <xf numFmtId="0" fontId="0" fillId="14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12" fillId="0" borderId="0" xfId="1" applyAlignment="1" applyProtection="1"/>
    <xf numFmtId="0" fontId="0" fillId="0" borderId="0" xfId="0" applyAlignment="1">
      <alignment vertical="top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15" borderId="0" xfId="0" applyFill="1" applyAlignment="1">
      <alignment horizontal="centerContinuous" vertical="center" wrapText="1"/>
    </xf>
    <xf numFmtId="0" fontId="0" fillId="16" borderId="0" xfId="0" applyFill="1"/>
    <xf numFmtId="0" fontId="0" fillId="17" borderId="0" xfId="0" applyFill="1"/>
    <xf numFmtId="0" fontId="14" fillId="18" borderId="0" xfId="0" applyFont="1" applyFill="1"/>
    <xf numFmtId="0" fontId="14" fillId="19" borderId="0" xfId="0" applyFont="1" applyFill="1"/>
    <xf numFmtId="0" fontId="0" fillId="20" borderId="0" xfId="0" applyFill="1"/>
    <xf numFmtId="0" fontId="15" fillId="21" borderId="0" xfId="0" applyFont="1" applyFill="1"/>
    <xf numFmtId="0" fontId="0" fillId="22" borderId="0" xfId="0" applyFill="1"/>
  </cellXfs>
  <cellStyles count="2">
    <cellStyle name="Hyperlink" xfId="1" builtinId="8"/>
    <cellStyle name="Normal" xfId="0" builtinId="0"/>
  </cellStyles>
  <dxfs count="7">
    <dxf>
      <font>
        <color rgb="FF000000"/>
      </font>
      <fill>
        <patternFill>
          <bgColor rgb="FFFF9900"/>
        </patternFill>
      </fill>
    </dxf>
    <dxf>
      <fill>
        <patternFill>
          <bgColor rgb="FFFF6060"/>
        </patternFill>
      </fill>
    </dxf>
    <dxf>
      <font>
        <color rgb="FFFFFFFF"/>
      </font>
      <fill>
        <patternFill>
          <bgColor rgb="FFFF404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997659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997659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216609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KEMET/C0805C104K5RAC7800?qs=hmjAPdsEpYaK3AnCUxDrTA%3D%3D" TargetMode="External"/><Relationship Id="rId2" Type="http://schemas.openxmlformats.org/officeDocument/2006/relationships/hyperlink" Target="https://www.tme.eu/en/details/c0805c104k5rac/mlcc-smd-capacitors/kemet/c0805c104k5ractu/" TargetMode="External"/><Relationship Id="rId3" Type="http://schemas.openxmlformats.org/officeDocument/2006/relationships/hyperlink" Target="https://uk.farnell.com/w/search?st=1414664" TargetMode="External"/><Relationship Id="rId4" Type="http://schemas.openxmlformats.org/officeDocument/2006/relationships/hyperlink" Target="https://www.mouser.com/ProductDetail/KEMET/C0805C105K3RAC7800?qs=HB7DuPrg59pgtLiZTW4Hgw%3D%3D" TargetMode="External"/><Relationship Id="rId5" Type="http://schemas.openxmlformats.org/officeDocument/2006/relationships/hyperlink" Target="https://www.tme.eu/en/details/c0805c105k3rac/mlcc-smd-capacitors/kemet/c0805c105k3ractu/" TargetMode="External"/><Relationship Id="rId6" Type="http://schemas.openxmlformats.org/officeDocument/2006/relationships/hyperlink" Target="https://uk.farnell.com/w/search?st=1637035" TargetMode="External"/><Relationship Id="rId7" Type="http://schemas.openxmlformats.org/officeDocument/2006/relationships/hyperlink" Target="https://www.vishay.com/docs/28388/153crv.pdf" TargetMode="External"/><Relationship Id="rId8" Type="http://schemas.openxmlformats.org/officeDocument/2006/relationships/hyperlink" Target="https://www.mouser.com/ProductDetail/Vishay-BC-Components/MAL215371479E3?qs=qmStTZH4TznfUHmco5WTVw%3D%3D" TargetMode="External"/><Relationship Id="rId9" Type="http://schemas.openxmlformats.org/officeDocument/2006/relationships/hyperlink" Target="https://uk.farnell.com/w/search?st=1187023" TargetMode="External"/><Relationship Id="rId10" Type="http://schemas.openxmlformats.org/officeDocument/2006/relationships/hyperlink" Target="https://www.mouser.com/ProductDetail/Bourns/CD1206-S01575?qs=FITO%2F%2FQgYDlGQsqciGRLTg%3D%3D" TargetMode="External"/><Relationship Id="rId11" Type="http://schemas.openxmlformats.org/officeDocument/2006/relationships/hyperlink" Target="https://uk.farnell.com/w/search?st=2211947" TargetMode="External"/><Relationship Id="rId12" Type="http://schemas.openxmlformats.org/officeDocument/2006/relationships/hyperlink" Target="https://dammedia.osram.info/media/resource/hires/osram-dam-2493936/LG%20R971.pdf" TargetMode="External"/><Relationship Id="rId13" Type="http://schemas.openxmlformats.org/officeDocument/2006/relationships/hyperlink" Target="https://www.mouser.com/ProductDetail/ams-OSRAM/LG-R971?qs=rUek3o0zKEuJI2MxN2AmMQ%3D%3D" TargetMode="External"/><Relationship Id="rId14" Type="http://schemas.openxmlformats.org/officeDocument/2006/relationships/hyperlink" Target="https://www.we-online.de/katalog/datasheet/6941xx106102.pdf" TargetMode="External"/><Relationship Id="rId15" Type="http://schemas.openxmlformats.org/officeDocument/2006/relationships/hyperlink" Target="https://www.mouser.com/ProductDetail/Wurth-Elektronik/694106106102?qs=a9WhcLg8qCzYTlt%252B9%252BRJ7g%3D%3D" TargetMode="External"/><Relationship Id="rId16" Type="http://schemas.openxmlformats.org/officeDocument/2006/relationships/hyperlink" Target="https://uk.farnell.com/w/search?st=2472148" TargetMode="External"/><Relationship Id="rId17" Type="http://schemas.openxmlformats.org/officeDocument/2006/relationships/hyperlink" Target="https://cdn.harwin.com/pdfs/M20-998.pdf" TargetMode="External"/><Relationship Id="rId18" Type="http://schemas.openxmlformats.org/officeDocument/2006/relationships/hyperlink" Target="https://www.mouser.com/ProductDetail/Harwin/M20-9980346?qs=%252Bk6%2F5FB6qrmHk2P20oz3FA%3D%3D" TargetMode="External"/><Relationship Id="rId19" Type="http://schemas.openxmlformats.org/officeDocument/2006/relationships/hyperlink" Target="https://uk.farnell.com/w/search?st=1022231" TargetMode="External"/><Relationship Id="rId20" Type="http://schemas.openxmlformats.org/officeDocument/2006/relationships/hyperlink" Target="https://www.mouser.com/ProductDetail/Harwin/M20-9990546?qs=ulE8k0yEMYY8EKyDN9ic6A%3D%3D" TargetMode="External"/><Relationship Id="rId21" Type="http://schemas.openxmlformats.org/officeDocument/2006/relationships/hyperlink" Target="https://uk.farnell.com/w/search?st=1022253" TargetMode="External"/><Relationship Id="rId22" Type="http://schemas.openxmlformats.org/officeDocument/2006/relationships/hyperlink" Target="https://www.mouser.com/ProductDetail/Harwin/M20-9990646?qs=Jph8NoUxIfXDcWZbabSSiw%3D%3D" TargetMode="External"/><Relationship Id="rId23" Type="http://schemas.openxmlformats.org/officeDocument/2006/relationships/hyperlink" Target="https://uk.farnell.com/w/search?st=1022255" TargetMode="External"/><Relationship Id="rId24" Type="http://schemas.openxmlformats.org/officeDocument/2006/relationships/hyperlink" Target="https://www.mouser.com/ProductDetail/Bourns/CR0805-FX-1001ELF?qs=tknLyCMIRbOJasvgRv5Bdg%3D%3D" TargetMode="External"/><Relationship Id="rId25" Type="http://schemas.openxmlformats.org/officeDocument/2006/relationships/hyperlink" Target="https://uk.farnell.com/w/search?st=2008380" TargetMode="External"/><Relationship Id="rId26" Type="http://schemas.openxmlformats.org/officeDocument/2006/relationships/hyperlink" Target="https://www.mouser.com/ProductDetail/Bourns/CR0805-FX-1002ELF?qs=tknLyCMIRbPr%252BDD0s0nG9g%3D%3D" TargetMode="External"/><Relationship Id="rId27" Type="http://schemas.openxmlformats.org/officeDocument/2006/relationships/hyperlink" Target="https://uk.farnell.com/w/search?st=1612522" TargetMode="External"/><Relationship Id="rId28" Type="http://schemas.openxmlformats.org/officeDocument/2006/relationships/hyperlink" Target="http://ww1.microchip.com/downloads/en/DeviceDoc/doc7799.pdf" TargetMode="External"/><Relationship Id="rId29" Type="http://schemas.openxmlformats.org/officeDocument/2006/relationships/hyperlink" Target="https://www.mouser.com/ProductDetail/Microchip-Technology-Atmel/ATMEGA8U2-AU?qs=rBGENRD8NwKrS6hoX%2FEvaw%3D%3D" TargetMode="External"/><Relationship Id="rId30" Type="http://schemas.openxmlformats.org/officeDocument/2006/relationships/hyperlink" Target="https://www.tme.eu/en/details/atmega8u2-au/8-bit-avr-family/microchip-atmel/" TargetMode="External"/><Relationship Id="rId31" Type="http://schemas.openxmlformats.org/officeDocument/2006/relationships/hyperlink" Target="https://uk.farnell.com/w/search?st=1748535" TargetMode="External"/><Relationship Id="rId32" Type="http://schemas.openxmlformats.org/officeDocument/2006/relationships/hyperlink" Target="https://mouser.com/bom/" TargetMode="External"/><Relationship Id="rId33" Type="http://schemas.openxmlformats.org/officeDocument/2006/relationships/hyperlink" Target="https://www.digikey.com/ordering/shoppingcart" TargetMode="External"/><Relationship Id="rId34" Type="http://schemas.openxmlformats.org/officeDocument/2006/relationships/hyperlink" Target="https://www.tme.eu/en/Profile/QuickBuy/load.html" TargetMode="External"/><Relationship Id="rId35" Type="http://schemas.openxmlformats.org/officeDocument/2006/relationships/hyperlink" Target="https://www.arrow.com/en/bom-tool/" TargetMode="External"/><Relationship Id="rId36" Type="http://schemas.openxmlformats.org/officeDocument/2006/relationships/hyperlink" Target="https://fr.farnell.com/en-FR/quick-order?isQuickPaste=true" TargetMode="External"/><Relationship Id="rId37" Type="http://schemas.openxmlformats.org/officeDocument/2006/relationships/drawing" Target="../drawings/drawing3.xml"/><Relationship Id="rId38" Type="http://schemas.openxmlformats.org/officeDocument/2006/relationships/vmlDrawing" Target="../drawings/vmlDrawing3.vml"/><Relationship Id="rId39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KEMET/C0805C220J5GAC7800?qs=YH7FEkjR5P3cUpOep5OthQ%3D%3D" TargetMode="External"/><Relationship Id="rId2" Type="http://schemas.openxmlformats.org/officeDocument/2006/relationships/hyperlink" Target="https://www.tme.eu/en/details/c0805c220j5gac/mlcc-smd-capacitors/kemet/c0805c220j5gactu/" TargetMode="External"/><Relationship Id="rId3" Type="http://schemas.openxmlformats.org/officeDocument/2006/relationships/hyperlink" Target="https://uk.farnell.com/w/search?st=1414678" TargetMode="External"/><Relationship Id="rId4" Type="http://schemas.openxmlformats.org/officeDocument/2006/relationships/hyperlink" Target="https://www.bourns.com/docs/Product-Datasheets/mfmsmf.pdf" TargetMode="External"/><Relationship Id="rId5" Type="http://schemas.openxmlformats.org/officeDocument/2006/relationships/hyperlink" Target="https://www.mouser.com/ProductDetail/Bourns/MF-MSMF050-2?qs=t3shhpq1i1DZ7OBD5kLNoA%3D%3D" TargetMode="External"/><Relationship Id="rId6" Type="http://schemas.openxmlformats.org/officeDocument/2006/relationships/hyperlink" Target="https://www.tme.eu/en/details/mf-msmf050-2/smd-polymer-fuses/bourns/" TargetMode="External"/><Relationship Id="rId7" Type="http://schemas.openxmlformats.org/officeDocument/2006/relationships/hyperlink" Target="https://uk.farnell.com/w/search?st=9350314" TargetMode="External"/><Relationship Id="rId8" Type="http://schemas.openxmlformats.org/officeDocument/2006/relationships/hyperlink" Target="https://www.murata.com/en-eu/api/pdfdownloadapi?cate=cgsubChipFerriBead&amp;partno=BLM21PG221SN1%23" TargetMode="External"/><Relationship Id="rId9" Type="http://schemas.openxmlformats.org/officeDocument/2006/relationships/hyperlink" Target="https://www.mouser.com/ProductDetail/Murata-Electronics/BLM21PG221SN1D?qs=N%2FLoXOA9PTJ4i6RHFrsqmw%3D%3D" TargetMode="External"/><Relationship Id="rId10" Type="http://schemas.openxmlformats.org/officeDocument/2006/relationships/hyperlink" Target="https://www.tme.eu/en/details/blm21pg221sn1d/ferrite-beads/murata/" TargetMode="External"/><Relationship Id="rId11" Type="http://schemas.openxmlformats.org/officeDocument/2006/relationships/hyperlink" Target="https://uk.farnell.com/w/search?st=1515661" TargetMode="External"/><Relationship Id="rId12" Type="http://schemas.openxmlformats.org/officeDocument/2006/relationships/hyperlink" Target="https://cdn.harwin.com/pdfs/M20-998.pdf" TargetMode="External"/><Relationship Id="rId13" Type="http://schemas.openxmlformats.org/officeDocument/2006/relationships/hyperlink" Target="https://www.mouser.com/ProductDetail/Harwin/M20-9980246?qs=WS5Jv%252B%252Bx1qV89jWkINM9cg%3D%3D" TargetMode="External"/><Relationship Id="rId14" Type="http://schemas.openxmlformats.org/officeDocument/2006/relationships/hyperlink" Target="https://uk.farnell.com/w/search?st=3225986" TargetMode="External"/><Relationship Id="rId15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16" Type="http://schemas.openxmlformats.org/officeDocument/2006/relationships/hyperlink" Target="https://www.mouser.com/ProductDetail/TE-Connectivity/292304-1?qs=G%2F5vCLrg9vwiXeMJMHNpsA%3D%3D" TargetMode="External"/><Relationship Id="rId17" Type="http://schemas.openxmlformats.org/officeDocument/2006/relationships/hyperlink" Target="https://www.tme.eu/en/details/292304-1/usb-ieee1394-connectors/te-connectivity/" TargetMode="External"/><Relationship Id="rId18" Type="http://schemas.openxmlformats.org/officeDocument/2006/relationships/hyperlink" Target="https://uk.farnell.com/w/search?st=3882721" TargetMode="External"/><Relationship Id="rId19" Type="http://schemas.openxmlformats.org/officeDocument/2006/relationships/hyperlink" Target="https://www.mouser.com/ProductDetail/Bourns/CR0805-FX-22R0ELF?qs=Woncl1%2FcWdhOqreeTtS7jg%3D%3D" TargetMode="External"/><Relationship Id="rId20" Type="http://schemas.openxmlformats.org/officeDocument/2006/relationships/hyperlink" Target="https://uk.farnell.com/w/search?st=2073701" TargetMode="External"/><Relationship Id="rId21" Type="http://schemas.openxmlformats.org/officeDocument/2006/relationships/hyperlink" Target="https://www.mouser.com/ProductDetail/Bourns/CR0805-FX-1004ELF?qs=tknLyCMIRbOGJekSMom0SQ%3D%3D" TargetMode="External"/><Relationship Id="rId22" Type="http://schemas.openxmlformats.org/officeDocument/2006/relationships/hyperlink" Target="https://uk.farnell.com/w/search?st=2333577" TargetMode="External"/><Relationship Id="rId23" Type="http://schemas.openxmlformats.org/officeDocument/2006/relationships/hyperlink" Target="https://www.bourns.com/docs/Product-Datasheets/MLC.pdf" TargetMode="External"/><Relationship Id="rId24" Type="http://schemas.openxmlformats.org/officeDocument/2006/relationships/hyperlink" Target="https://www.mouser.com/ProductDetail/Bourns/CG0603MLC-05E?qs=lDok7oSghXVLNKMK69q%252BFQ%3D%3D" TargetMode="External"/><Relationship Id="rId25" Type="http://schemas.openxmlformats.org/officeDocument/2006/relationships/hyperlink" Target="https://uk.farnell.com/w/search?st=1838966" TargetMode="External"/><Relationship Id="rId26" Type="http://schemas.openxmlformats.org/officeDocument/2006/relationships/hyperlink" Target="https://www.foxonline.com/pdfs/C4ST.pdf" TargetMode="External"/><Relationship Id="rId27" Type="http://schemas.openxmlformats.org/officeDocument/2006/relationships/hyperlink" Target="https://www.mouser.com/ProductDetail/ABRACON/ABM3-16.000MHZ-B2-T?qs=H8AWquzS%2FlOF%252BStKHcxcSw%3D%3D" TargetMode="External"/><Relationship Id="rId28" Type="http://schemas.openxmlformats.org/officeDocument/2006/relationships/hyperlink" Target="https://uk.farnell.com/w/search?st=1611806" TargetMode="External"/><Relationship Id="rId29" Type="http://schemas.openxmlformats.org/officeDocument/2006/relationships/hyperlink" Target="https://mouser.com/bom/" TargetMode="External"/><Relationship Id="rId30" Type="http://schemas.openxmlformats.org/officeDocument/2006/relationships/hyperlink" Target="https://www.digikey.com/ordering/shoppingcart" TargetMode="External"/><Relationship Id="rId31" Type="http://schemas.openxmlformats.org/officeDocument/2006/relationships/hyperlink" Target="https://www.tme.eu/en/Profile/QuickBuy/load.html" TargetMode="External"/><Relationship Id="rId32" Type="http://schemas.openxmlformats.org/officeDocument/2006/relationships/hyperlink" Target="https://www.arrow.com/en/bom-tool/" TargetMode="External"/><Relationship Id="rId33" Type="http://schemas.openxmlformats.org/officeDocument/2006/relationships/hyperlink" Target="https://fr.farnell.com/en-FR/quick-order?isQuickPaste=true" TargetMode="External"/><Relationship Id="rId34" Type="http://schemas.openxmlformats.org/officeDocument/2006/relationships/drawing" Target="../drawings/drawing4.xml"/><Relationship Id="rId35" Type="http://schemas.openxmlformats.org/officeDocument/2006/relationships/vmlDrawing" Target="../drawings/vmlDrawing4.vml"/><Relationship Id="rId36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8" topLeftCell="A9" activePane="bottomLeft" state="frozen"/>
      <selection pane="bottomLeft"/>
    </sheetView>
  </sheetViews>
  <sheetFormatPr defaultRowHeight="15" outlineLevelCol="1"/>
  <cols>
    <col min="1" max="1" width="20.7109375" customWidth="1"/>
    <col min="2" max="2" width="24.7109375" customWidth="1"/>
    <col min="3" max="3" width="23.7109375" customWidth="1"/>
    <col min="4" max="4" width="26.7109375" customWidth="1"/>
    <col min="5" max="5" width="22.7109375" customWidth="1"/>
    <col min="6" max="6" width="26.7109375" customWidth="1"/>
    <col min="7" max="7" width="32.7109375" customWidth="1" outlineLevel="1"/>
  </cols>
  <sheetData>
    <row r="1" spans="1:7" ht="32" customHeight="1">
      <c r="C1" s="2" t="s">
        <v>73</v>
      </c>
      <c r="D1" s="2"/>
      <c r="E1" s="2"/>
      <c r="F1" s="2"/>
      <c r="G1" s="2"/>
    </row>
    <row r="2" spans="1:7">
      <c r="C2" s="3" t="s">
        <v>74</v>
      </c>
      <c r="D2" s="4" t="s">
        <v>75</v>
      </c>
      <c r="E2" s="3" t="s">
        <v>84</v>
      </c>
      <c r="F2" s="4">
        <v>21</v>
      </c>
    </row>
    <row r="3" spans="1:7">
      <c r="C3" s="3" t="s">
        <v>76</v>
      </c>
      <c r="D3" s="4" t="s">
        <v>77</v>
      </c>
      <c r="E3" s="3" t="s">
        <v>85</v>
      </c>
      <c r="F3" s="4">
        <v>30</v>
      </c>
    </row>
    <row r="4" spans="1:7">
      <c r="C4" s="3" t="s">
        <v>78</v>
      </c>
      <c r="D4" s="4" t="s">
        <v>79</v>
      </c>
      <c r="E4" s="3" t="s">
        <v>86</v>
      </c>
      <c r="F4" s="4">
        <v>18</v>
      </c>
    </row>
    <row r="5" spans="1:7">
      <c r="C5" s="3" t="s">
        <v>80</v>
      </c>
      <c r="D5" s="4" t="s">
        <v>81</v>
      </c>
      <c r="E5" s="3" t="s">
        <v>87</v>
      </c>
      <c r="F5" s="4">
        <v>50</v>
      </c>
    </row>
    <row r="6" spans="1:7">
      <c r="C6" s="3" t="s">
        <v>82</v>
      </c>
      <c r="D6" s="4" t="s">
        <v>83</v>
      </c>
      <c r="E6" s="3" t="s">
        <v>88</v>
      </c>
      <c r="F6" s="4">
        <v>900</v>
      </c>
    </row>
    <row r="8" spans="1: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>
      <c r="A9" s="6" t="s">
        <v>7</v>
      </c>
      <c r="B9" s="6" t="s">
        <v>8</v>
      </c>
      <c r="C9" s="6" t="s">
        <v>9</v>
      </c>
      <c r="D9" s="7" t="s">
        <v>10</v>
      </c>
      <c r="E9" s="8" t="s">
        <v>11</v>
      </c>
      <c r="F9" s="8" t="s">
        <v>12</v>
      </c>
      <c r="G9" s="8" t="s">
        <v>13</v>
      </c>
    </row>
    <row r="10" spans="1:7">
      <c r="A10" s="9" t="s">
        <v>14</v>
      </c>
      <c r="B10" s="9" t="s">
        <v>8</v>
      </c>
      <c r="C10" s="9" t="s">
        <v>15</v>
      </c>
      <c r="D10" s="10" t="s">
        <v>16</v>
      </c>
      <c r="E10" s="11" t="s">
        <v>11</v>
      </c>
      <c r="F10" s="11" t="s">
        <v>17</v>
      </c>
      <c r="G10" s="11" t="s">
        <v>18</v>
      </c>
    </row>
    <row r="11" spans="1:7">
      <c r="A11" s="6" t="s">
        <v>19</v>
      </c>
      <c r="B11" s="6" t="s">
        <v>20</v>
      </c>
      <c r="C11" s="6" t="s">
        <v>21</v>
      </c>
      <c r="D11" s="7" t="s">
        <v>16</v>
      </c>
      <c r="E11" s="8" t="s">
        <v>22</v>
      </c>
      <c r="F11" s="8" t="s">
        <v>23</v>
      </c>
      <c r="G11" s="8" t="s">
        <v>24</v>
      </c>
    </row>
    <row r="12" spans="1:7">
      <c r="A12" s="9" t="s">
        <v>25</v>
      </c>
      <c r="B12" s="9" t="s">
        <v>26</v>
      </c>
      <c r="C12" s="9" t="s">
        <v>27</v>
      </c>
      <c r="D12" s="10" t="s">
        <v>16</v>
      </c>
      <c r="E12" s="11" t="s">
        <v>28</v>
      </c>
      <c r="F12" s="11" t="s">
        <v>27</v>
      </c>
      <c r="G12" s="11" t="s">
        <v>29</v>
      </c>
    </row>
    <row r="13" spans="1:7">
      <c r="A13" s="6" t="s">
        <v>30</v>
      </c>
      <c r="B13" s="6" t="s">
        <v>31</v>
      </c>
      <c r="C13" s="6" t="s">
        <v>31</v>
      </c>
      <c r="D13" s="7" t="s">
        <v>32</v>
      </c>
      <c r="E13" s="8" t="s">
        <v>33</v>
      </c>
      <c r="F13" s="8" t="s">
        <v>34</v>
      </c>
      <c r="G13" s="8" t="s">
        <v>35</v>
      </c>
    </row>
    <row r="14" spans="1:7">
      <c r="A14" s="9" t="s">
        <v>36</v>
      </c>
      <c r="B14" s="9" t="s">
        <v>37</v>
      </c>
      <c r="C14" s="9" t="s">
        <v>37</v>
      </c>
      <c r="D14" s="10" t="s">
        <v>16</v>
      </c>
      <c r="E14" s="11" t="s">
        <v>38</v>
      </c>
      <c r="F14" s="11" t="s">
        <v>39</v>
      </c>
      <c r="G14" s="11" t="s">
        <v>40</v>
      </c>
    </row>
    <row r="15" spans="1:7">
      <c r="A15" s="6" t="s">
        <v>41</v>
      </c>
      <c r="B15" s="6" t="s">
        <v>42</v>
      </c>
      <c r="C15" s="6" t="s">
        <v>43</v>
      </c>
      <c r="D15" s="7" t="s">
        <v>16</v>
      </c>
      <c r="E15" s="8" t="s">
        <v>44</v>
      </c>
      <c r="F15" s="8" t="s">
        <v>45</v>
      </c>
      <c r="G15" s="8" t="s">
        <v>46</v>
      </c>
    </row>
    <row r="16" spans="1:7">
      <c r="A16" s="9" t="s">
        <v>47</v>
      </c>
      <c r="B16" s="9" t="s">
        <v>48</v>
      </c>
      <c r="C16" s="9" t="s">
        <v>49</v>
      </c>
      <c r="D16" s="10" t="s">
        <v>16</v>
      </c>
      <c r="E16" s="11" t="s">
        <v>44</v>
      </c>
      <c r="F16" s="11" t="s">
        <v>50</v>
      </c>
      <c r="G16" s="11" t="s">
        <v>51</v>
      </c>
    </row>
    <row r="17" spans="1:7">
      <c r="A17" s="6" t="s">
        <v>52</v>
      </c>
      <c r="B17" s="6" t="s">
        <v>53</v>
      </c>
      <c r="C17" s="6" t="s">
        <v>54</v>
      </c>
      <c r="D17" s="7" t="s">
        <v>16</v>
      </c>
      <c r="E17" s="8" t="s">
        <v>44</v>
      </c>
      <c r="F17" s="8" t="s">
        <v>55</v>
      </c>
      <c r="G17" s="8" t="s">
        <v>56</v>
      </c>
    </row>
    <row r="18" spans="1:7">
      <c r="A18" s="9" t="s">
        <v>57</v>
      </c>
      <c r="B18" s="9" t="s">
        <v>58</v>
      </c>
      <c r="C18" s="9" t="s">
        <v>59</v>
      </c>
      <c r="D18" s="10" t="s">
        <v>60</v>
      </c>
      <c r="E18" s="11" t="s">
        <v>28</v>
      </c>
      <c r="F18" s="11" t="s">
        <v>61</v>
      </c>
      <c r="G18" s="11" t="s">
        <v>62</v>
      </c>
    </row>
    <row r="19" spans="1:7">
      <c r="A19" s="6" t="s">
        <v>63</v>
      </c>
      <c r="B19" s="6" t="s">
        <v>58</v>
      </c>
      <c r="C19" s="6" t="s">
        <v>64</v>
      </c>
      <c r="D19" s="7" t="s">
        <v>16</v>
      </c>
      <c r="E19" s="8" t="s">
        <v>28</v>
      </c>
      <c r="F19" s="8" t="s">
        <v>65</v>
      </c>
      <c r="G19" s="8" t="s">
        <v>66</v>
      </c>
    </row>
    <row r="20" spans="1:7">
      <c r="A20" s="9" t="s">
        <v>67</v>
      </c>
      <c r="B20" s="9" t="s">
        <v>68</v>
      </c>
      <c r="C20" s="9" t="s">
        <v>69</v>
      </c>
      <c r="D20" s="10" t="s">
        <v>16</v>
      </c>
      <c r="E20" s="11" t="s">
        <v>70</v>
      </c>
      <c r="F20" s="11" t="s">
        <v>71</v>
      </c>
      <c r="G20" s="11" t="s">
        <v>72</v>
      </c>
    </row>
  </sheetData>
  <mergeCells count="1">
    <mergeCell ref="C1:G1"/>
  </mergeCells>
  <pageMargins left="0.7" right="0.7" top="0.75" bottom="0.75" header="0.3" footer="0.3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ySplit="8" topLeftCell="A9" activePane="bottomLeft" state="frozen"/>
      <selection pane="bottomLeft"/>
    </sheetView>
  </sheetViews>
  <sheetFormatPr defaultRowHeight="15" outlineLevelCol="1"/>
  <cols>
    <col min="1" max="1" width="20.7109375" customWidth="1"/>
    <col min="2" max="2" width="24.7109375" customWidth="1"/>
    <col min="3" max="3" width="19.7109375" customWidth="1"/>
    <col min="4" max="4" width="26.7109375" customWidth="1"/>
    <col min="5" max="5" width="35.7109375" customWidth="1"/>
    <col min="6" max="6" width="26.7109375" customWidth="1"/>
    <col min="7" max="7" width="32.7109375" customWidth="1" outlineLevel="1"/>
  </cols>
  <sheetData>
    <row r="1" spans="1:7" ht="32" customHeight="1">
      <c r="C1" s="2" t="s">
        <v>73</v>
      </c>
      <c r="D1" s="2"/>
      <c r="E1" s="2"/>
      <c r="F1" s="2"/>
      <c r="G1" s="2"/>
    </row>
    <row r="2" spans="1:7">
      <c r="C2" s="3" t="s">
        <v>74</v>
      </c>
      <c r="D2" s="4" t="s">
        <v>75</v>
      </c>
      <c r="E2" s="3" t="s">
        <v>84</v>
      </c>
      <c r="F2" s="4">
        <v>21</v>
      </c>
    </row>
    <row r="3" spans="1:7">
      <c r="C3" s="3" t="s">
        <v>76</v>
      </c>
      <c r="D3" s="4" t="s">
        <v>77</v>
      </c>
      <c r="E3" s="3" t="s">
        <v>85</v>
      </c>
      <c r="F3" s="4">
        <v>30</v>
      </c>
    </row>
    <row r="4" spans="1:7">
      <c r="C4" s="3" t="s">
        <v>78</v>
      </c>
      <c r="D4" s="4" t="s">
        <v>79</v>
      </c>
      <c r="E4" s="3" t="s">
        <v>86</v>
      </c>
      <c r="F4" s="4">
        <v>18</v>
      </c>
    </row>
    <row r="5" spans="1:7">
      <c r="C5" s="3" t="s">
        <v>80</v>
      </c>
      <c r="D5" s="4" t="s">
        <v>81</v>
      </c>
      <c r="E5" s="3" t="s">
        <v>87</v>
      </c>
      <c r="F5" s="4">
        <v>50</v>
      </c>
    </row>
    <row r="6" spans="1:7">
      <c r="C6" s="3" t="s">
        <v>82</v>
      </c>
      <c r="D6" s="4" t="s">
        <v>83</v>
      </c>
      <c r="E6" s="3" t="s">
        <v>88</v>
      </c>
      <c r="F6" s="4">
        <v>900</v>
      </c>
    </row>
    <row r="8" spans="1: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>
      <c r="A9" s="6" t="s">
        <v>89</v>
      </c>
      <c r="B9" s="6" t="s">
        <v>8</v>
      </c>
      <c r="C9" s="6" t="s">
        <v>90</v>
      </c>
      <c r="D9" s="7" t="s">
        <v>32</v>
      </c>
      <c r="E9" s="8" t="s">
        <v>11</v>
      </c>
      <c r="F9" s="8" t="s">
        <v>91</v>
      </c>
      <c r="G9" s="8" t="s">
        <v>92</v>
      </c>
    </row>
    <row r="10" spans="1:7">
      <c r="A10" s="9" t="s">
        <v>93</v>
      </c>
      <c r="B10" s="9" t="s">
        <v>94</v>
      </c>
      <c r="C10" s="9" t="s">
        <v>95</v>
      </c>
      <c r="D10" s="10" t="s">
        <v>16</v>
      </c>
      <c r="E10" s="11" t="s">
        <v>28</v>
      </c>
      <c r="F10" s="11" t="s">
        <v>95</v>
      </c>
      <c r="G10" s="11" t="s">
        <v>96</v>
      </c>
    </row>
    <row r="11" spans="1:7">
      <c r="A11" s="6" t="s">
        <v>97</v>
      </c>
      <c r="B11" s="6" t="s">
        <v>98</v>
      </c>
      <c r="C11" s="6" t="s">
        <v>99</v>
      </c>
      <c r="D11" s="7" t="s">
        <v>16</v>
      </c>
      <c r="E11" s="8" t="s">
        <v>100</v>
      </c>
      <c r="F11" s="8" t="s">
        <v>99</v>
      </c>
      <c r="G11" s="8" t="s">
        <v>101</v>
      </c>
    </row>
    <row r="12" spans="1:7">
      <c r="A12" s="9" t="s">
        <v>102</v>
      </c>
      <c r="B12" s="9" t="s">
        <v>103</v>
      </c>
      <c r="C12" s="9" t="s">
        <v>104</v>
      </c>
      <c r="D12" s="10" t="s">
        <v>16</v>
      </c>
      <c r="E12" s="11" t="s">
        <v>44</v>
      </c>
      <c r="F12" s="11" t="s">
        <v>105</v>
      </c>
      <c r="G12" s="11" t="s">
        <v>106</v>
      </c>
    </row>
    <row r="13" spans="1:7">
      <c r="A13" s="6" t="s">
        <v>107</v>
      </c>
      <c r="B13" s="6" t="s">
        <v>108</v>
      </c>
      <c r="C13" s="6" t="s">
        <v>108</v>
      </c>
      <c r="D13" s="7" t="s">
        <v>16</v>
      </c>
      <c r="E13" s="8" t="s">
        <v>109</v>
      </c>
      <c r="F13" s="8" t="s">
        <v>110</v>
      </c>
      <c r="G13" s="8" t="s">
        <v>111</v>
      </c>
    </row>
    <row r="14" spans="1:7">
      <c r="A14" s="9" t="s">
        <v>112</v>
      </c>
      <c r="B14" s="9" t="s">
        <v>58</v>
      </c>
      <c r="C14" s="9" t="s">
        <v>113</v>
      </c>
      <c r="D14" s="10" t="s">
        <v>32</v>
      </c>
      <c r="E14" s="11" t="s">
        <v>28</v>
      </c>
      <c r="F14" s="11" t="s">
        <v>114</v>
      </c>
      <c r="G14" s="11" t="s">
        <v>115</v>
      </c>
    </row>
    <row r="15" spans="1:7">
      <c r="A15" s="6" t="s">
        <v>116</v>
      </c>
      <c r="B15" s="6" t="s">
        <v>58</v>
      </c>
      <c r="C15" s="6" t="s">
        <v>117</v>
      </c>
      <c r="D15" s="7" t="s">
        <v>16</v>
      </c>
      <c r="E15" s="8" t="s">
        <v>28</v>
      </c>
      <c r="F15" s="8" t="s">
        <v>118</v>
      </c>
      <c r="G15" s="8" t="s">
        <v>119</v>
      </c>
    </row>
    <row r="16" spans="1:7">
      <c r="A16" s="9" t="s">
        <v>120</v>
      </c>
      <c r="B16" s="9" t="s">
        <v>121</v>
      </c>
      <c r="C16" s="9" t="s">
        <v>122</v>
      </c>
      <c r="D16" s="10" t="s">
        <v>32</v>
      </c>
      <c r="E16" s="11" t="s">
        <v>28</v>
      </c>
      <c r="F16" s="11" t="s">
        <v>122</v>
      </c>
      <c r="G16" s="11" t="s">
        <v>123</v>
      </c>
    </row>
    <row r="17" spans="1:7">
      <c r="A17" s="6" t="s">
        <v>124</v>
      </c>
      <c r="B17" s="6" t="s">
        <v>125</v>
      </c>
      <c r="C17" s="6" t="s">
        <v>126</v>
      </c>
      <c r="D17" s="7" t="s">
        <v>16</v>
      </c>
      <c r="E17" s="8" t="s">
        <v>127</v>
      </c>
      <c r="F17" s="8" t="s">
        <v>128</v>
      </c>
      <c r="G17" s="8" t="s">
        <v>129</v>
      </c>
    </row>
  </sheetData>
  <mergeCells count="1">
    <mergeCell ref="C1:G1"/>
  </mergeCells>
  <pageMargins left="0.7" right="0.7" top="0.75" bottom="0.75" header="0.3" footer="0.3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8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12.7109375" customWidth="1"/>
    <col min="2" max="2" width="19.7109375" customWidth="1"/>
    <col min="3" max="3" width="42.7109375" customWidth="1" outlineLevel="2"/>
    <col min="4" max="4" width="17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8.7109375" customWidth="1" outlineLevel="2"/>
    <col min="21" max="21" width="9.7109375" customWidth="1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  <col min="27" max="27" width="9.7109375" customWidth="1" outlineLevel="1"/>
    <col min="28" max="28" width="9.140625" outlineLevel="2"/>
    <col min="29" max="29" width="10.7109375" customWidth="1" outlineLevel="2"/>
    <col min="30" max="30" width="0" hidden="1" customWidth="1" outlineLevel="3" collapsed="1"/>
    <col min="31" max="31" width="16.7109375" customWidth="1"/>
    <col min="32" max="32" width="18.7109375" customWidth="1" outlineLevel="2"/>
    <col min="33" max="33" width="9.7109375" customWidth="1" outlineLevel="1"/>
    <col min="34" max="34" width="9.140625" outlineLevel="2"/>
    <col min="35" max="35" width="10.7109375" customWidth="1" outlineLevel="2"/>
    <col min="36" max="36" width="0" hidden="1" customWidth="1" outlineLevel="3" collapsed="1"/>
    <col min="37" max="37" width="16.7109375" customWidth="1"/>
    <col min="38" max="38" width="16.7109375" customWidth="1" outlineLevel="2"/>
  </cols>
  <sheetData>
    <row r="1" spans="1:38" ht="32" customHeight="1">
      <c r="D1" s="2" t="s">
        <v>73</v>
      </c>
      <c r="E1" s="2"/>
      <c r="F1" s="2"/>
      <c r="G1" s="2"/>
      <c r="H1" s="2"/>
    </row>
    <row r="2" spans="1:38">
      <c r="D2" s="3" t="s">
        <v>74</v>
      </c>
      <c r="E2" s="4" t="s">
        <v>75</v>
      </c>
      <c r="G2" s="12" t="s">
        <v>192</v>
      </c>
      <c r="H2" s="12">
        <v>50</v>
      </c>
    </row>
    <row r="3" spans="1:38">
      <c r="D3" s="3" t="s">
        <v>76</v>
      </c>
      <c r="E3" s="4" t="s">
        <v>77</v>
      </c>
      <c r="G3" s="13" t="s">
        <v>194</v>
      </c>
      <c r="H3" s="14">
        <f>TotalCost/BoardQty</f>
        <v>6.7629</v>
      </c>
    </row>
    <row r="4" spans="1:38">
      <c r="D4" s="3" t="s">
        <v>78</v>
      </c>
      <c r="E4" s="4" t="s">
        <v>79</v>
      </c>
      <c r="G4" s="13" t="s">
        <v>193</v>
      </c>
      <c r="H4" s="15">
        <f>SUM(H10:H21)</f>
        <v>338.1459</v>
      </c>
      <c r="M4" s="15">
        <f>SUM(M10:M21)</f>
        <v>330.8</v>
      </c>
      <c r="N4" s="16" t="str">
        <f>(COUNTA(M10:M21)&amp;" of "&amp;ROWS(M10:M21)&amp;" parts found")</f>
        <v>10 of 12 parts found</v>
      </c>
      <c r="S4" s="15">
        <f>SUM(S10:S21)</f>
        <v>272.075</v>
      </c>
      <c r="T4" s="16" t="str">
        <f>(COUNTA(S10:S21)&amp;" of "&amp;ROWS(S10:S21)&amp;" parts found")</f>
        <v>9 of 12 parts found</v>
      </c>
      <c r="Y4" s="15">
        <f>SUM(Y10:Y21)</f>
        <v>138.168</v>
      </c>
      <c r="Z4" s="16" t="str">
        <f>(COUNTA(Y10:Y21)&amp;" of "&amp;ROWS(Y10:Y21)&amp;" parts found")</f>
        <v>3 of 12 parts found</v>
      </c>
      <c r="AE4" s="15">
        <f>SUM(AE10:AE21)</f>
        <v>220.77</v>
      </c>
      <c r="AF4" s="16" t="str">
        <f>(COUNTA(AE10:AE21)&amp;" of "&amp;ROWS(AE10:AE21)&amp;" parts found")</f>
        <v>6 of 12 parts found</v>
      </c>
      <c r="AK4" s="15">
        <f>SUM(AK10:AK21)</f>
        <v>342.4836</v>
      </c>
      <c r="AL4" s="16" t="str">
        <f>(COUNTA(AK10:AK21)&amp;" of "&amp;ROWS(AK10:AK21)&amp;" parts found")</f>
        <v>11 of 12 parts found</v>
      </c>
    </row>
    <row r="5" spans="1:38">
      <c r="D5" s="3" t="s">
        <v>80</v>
      </c>
      <c r="E5" s="4" t="s">
        <v>81</v>
      </c>
    </row>
    <row r="6" spans="1:38">
      <c r="D6" s="3" t="s">
        <v>82</v>
      </c>
      <c r="E6" s="4" t="s">
        <v>83</v>
      </c>
    </row>
    <row r="8" spans="1:38">
      <c r="A8" s="17" t="s">
        <v>130</v>
      </c>
      <c r="B8" s="17"/>
      <c r="C8" s="17"/>
      <c r="D8" s="17"/>
      <c r="E8" s="17"/>
      <c r="F8" s="17"/>
      <c r="G8" s="17"/>
      <c r="H8" s="17"/>
      <c r="I8" s="18" t="s">
        <v>145</v>
      </c>
      <c r="J8" s="18"/>
      <c r="K8" s="18"/>
      <c r="L8" s="18"/>
      <c r="M8" s="18"/>
      <c r="N8" s="18"/>
      <c r="O8" s="19" t="s">
        <v>164</v>
      </c>
      <c r="P8" s="19"/>
      <c r="Q8" s="19"/>
      <c r="R8" s="19"/>
      <c r="S8" s="19"/>
      <c r="T8" s="19"/>
      <c r="U8" s="20" t="s">
        <v>170</v>
      </c>
      <c r="V8" s="20"/>
      <c r="W8" s="20"/>
      <c r="X8" s="20"/>
      <c r="Y8" s="20"/>
      <c r="Z8" s="20"/>
      <c r="AA8" s="21" t="s">
        <v>173</v>
      </c>
      <c r="AB8" s="21"/>
      <c r="AC8" s="21"/>
      <c r="AD8" s="21"/>
      <c r="AE8" s="21"/>
      <c r="AF8" s="21"/>
      <c r="AG8" s="22" t="s">
        <v>176</v>
      </c>
      <c r="AH8" s="22"/>
      <c r="AI8" s="22"/>
      <c r="AJ8" s="22"/>
      <c r="AK8" s="22"/>
      <c r="AL8" s="22"/>
    </row>
    <row r="9" spans="1:38">
      <c r="A9" s="23" t="s">
        <v>0</v>
      </c>
      <c r="B9" s="23" t="s">
        <v>2</v>
      </c>
      <c r="C9" s="23" t="s">
        <v>131</v>
      </c>
      <c r="D9" s="23" t="s">
        <v>4</v>
      </c>
      <c r="E9" s="23" t="s">
        <v>5</v>
      </c>
      <c r="F9" s="23" t="s">
        <v>132</v>
      </c>
      <c r="G9" s="23" t="s">
        <v>133</v>
      </c>
      <c r="H9" s="23" t="s">
        <v>134</v>
      </c>
      <c r="I9" s="23" t="s">
        <v>146</v>
      </c>
      <c r="J9" s="23" t="s">
        <v>147</v>
      </c>
      <c r="K9" s="23" t="s">
        <v>133</v>
      </c>
      <c r="L9" s="23" t="s">
        <v>148</v>
      </c>
      <c r="M9" s="23" t="s">
        <v>134</v>
      </c>
      <c r="N9" s="23" t="s">
        <v>149</v>
      </c>
      <c r="O9" s="23" t="s">
        <v>146</v>
      </c>
      <c r="P9" s="23" t="s">
        <v>147</v>
      </c>
      <c r="Q9" s="23" t="s">
        <v>133</v>
      </c>
      <c r="R9" s="23" t="s">
        <v>148</v>
      </c>
      <c r="S9" s="23" t="s">
        <v>134</v>
      </c>
      <c r="T9" s="23" t="s">
        <v>149</v>
      </c>
      <c r="U9" s="23" t="s">
        <v>146</v>
      </c>
      <c r="V9" s="23" t="s">
        <v>147</v>
      </c>
      <c r="W9" s="23" t="s">
        <v>133</v>
      </c>
      <c r="X9" s="23" t="s">
        <v>148</v>
      </c>
      <c r="Y9" s="23" t="s">
        <v>134</v>
      </c>
      <c r="Z9" s="23" t="s">
        <v>149</v>
      </c>
      <c r="AA9" s="23" t="s">
        <v>146</v>
      </c>
      <c r="AB9" s="23" t="s">
        <v>147</v>
      </c>
      <c r="AC9" s="23" t="s">
        <v>133</v>
      </c>
      <c r="AD9" s="23" t="s">
        <v>148</v>
      </c>
      <c r="AE9" s="23" t="s">
        <v>134</v>
      </c>
      <c r="AF9" s="23" t="s">
        <v>149</v>
      </c>
      <c r="AG9" s="23" t="s">
        <v>146</v>
      </c>
      <c r="AH9" s="23" t="s">
        <v>147</v>
      </c>
      <c r="AI9" s="23" t="s">
        <v>133</v>
      </c>
      <c r="AJ9" s="23" t="s">
        <v>148</v>
      </c>
      <c r="AK9" s="23" t="s">
        <v>134</v>
      </c>
      <c r="AL9" s="23" t="s">
        <v>149</v>
      </c>
    </row>
    <row r="10" spans="1:38">
      <c r="A10" s="24" t="s">
        <v>7</v>
      </c>
      <c r="B10" s="24" t="s">
        <v>9</v>
      </c>
      <c r="C10" s="24" t="s">
        <v>135</v>
      </c>
      <c r="D10" s="24" t="s">
        <v>11</v>
      </c>
      <c r="E10" s="24" t="s">
        <v>12</v>
      </c>
      <c r="F10" s="24">
        <f>CEILING(BoardQty*4,1)</f>
        <v>200</v>
      </c>
      <c r="G10" s="25">
        <f>IF(MIN(AC10,Q10,AI10,K10,W10)&lt;&gt;0,MIN(AC10,Q10,AI10,K10,W10),"")</f>
        <v>0.0397</v>
      </c>
      <c r="H10" s="26">
        <f>IF(AND(ISNUMBER(F10),ISNUMBER(G10)),F10*G10,"")</f>
        <v>7.94</v>
      </c>
      <c r="I10" s="24">
        <v>184000</v>
      </c>
      <c r="J10" s="24"/>
      <c r="K10" s="25" t="str">
        <f>IFERROR(IF(OR(J10&gt;=L10,F10&gt;=L10),LOOKUP(IF(J10="",F10,J10),{0,1,4000},{0.0,0.021,0.021}),"MOQ="&amp;L10),"")</f>
        <v/>
      </c>
      <c r="L10" s="24">
        <v>4000</v>
      </c>
      <c r="M10" s="26" t="str">
        <f>IFERROR(IF(J10="",F10,J10)*K10,"")</f>
        <v/>
      </c>
      <c r="N10" s="24" t="s">
        <v>150</v>
      </c>
      <c r="O10" s="24">
        <v>2260620</v>
      </c>
      <c r="P10" s="24"/>
      <c r="Q10" s="25">
        <f>IFERROR(IF(OR(P10&gt;=R10,F10&gt;=R10),LOOKUP(IF(P10="",F10,P10),{0,1,10,50,100,500,1000,4000,8000,12000,40000},{0.0,0.14,0.097,0.0548,0.0454,0.03182,0.02634,0.02243,0.02087,0.01982,0.01878}),"MOQ="&amp;R10),"")</f>
        <v>0.0454</v>
      </c>
      <c r="R10" s="24">
        <v>1</v>
      </c>
      <c r="S10" s="26">
        <f>IFERROR(IF(P10="",F10,P10)*Q10,"")</f>
        <v>9.08</v>
      </c>
      <c r="T10" s="24" t="s">
        <v>165</v>
      </c>
      <c r="U10" s="24">
        <v>177200</v>
      </c>
      <c r="V10" s="24"/>
      <c r="W10" s="25">
        <f>IFERROR(IF(OR(V10&gt;=X10,F10&gt;=X10),LOOKUP(IF(V10="",F10,V10),{0,1,100,300,1000,4000,12000},{0.0,0.04084,0.04084,0.02655,0.01941,0.01482,0.01365}),"MOQ="&amp;X10),"")</f>
        <v>0.04084</v>
      </c>
      <c r="X10" s="24">
        <v>100</v>
      </c>
      <c r="Y10" s="26">
        <f>IFERROR(IF(V10="",F10,V10)*W10,"")</f>
        <v>8.168</v>
      </c>
      <c r="Z10" s="24" t="s">
        <v>171</v>
      </c>
      <c r="AA10" s="24">
        <v>3872000</v>
      </c>
      <c r="AB10" s="24"/>
      <c r="AC10" s="25">
        <f>IFERROR(IF(OR(AB10&gt;=AD10,F10&gt;=AD10),LOOKUP(IF(AB10="",F10,AB10),{0,1,10,25,100,250,500,4000},{0.0,0.1436,0.1042,0.1032,0.0397,0.0393,0.0302,0.0308}),"MOQ="&amp;AD10),"")</f>
        <v>0.0397</v>
      </c>
      <c r="AD10" s="24">
        <v>1</v>
      </c>
      <c r="AE10" s="26">
        <f>IFERROR(IF(AB10="",F10,AB10)*AC10,"")</f>
        <v>7.94</v>
      </c>
      <c r="AF10" s="24" t="s">
        <v>174</v>
      </c>
      <c r="AG10" s="24">
        <v>1966430</v>
      </c>
      <c r="AH10" s="24"/>
      <c r="AI10" s="25">
        <f>IFERROR(IF(OR(AH10&gt;=AJ10,F10&gt;=AJ10),USD_GBP*LOOKUP(IF(AH10="",F10,AH10),{0,1,10,100,500,1000,2000},{0.0,0.083,0.083,0.043,0.035,0.034,0.0333}),"MOQ="&amp;AJ10),"")</f>
        <v>0.053172043010752686</v>
      </c>
      <c r="AJ10" s="24">
        <v>10</v>
      </c>
      <c r="AK10" s="26">
        <f>IFERROR(IF(AH10="",F10,AH10)*AI10,"")</f>
        <v>10.6344</v>
      </c>
      <c r="AL10" s="24" t="s">
        <v>177</v>
      </c>
    </row>
    <row r="11" spans="1:38">
      <c r="A11" s="24" t="s">
        <v>14</v>
      </c>
      <c r="B11" s="24" t="s">
        <v>15</v>
      </c>
      <c r="C11" s="24" t="s">
        <v>135</v>
      </c>
      <c r="D11" s="24" t="s">
        <v>11</v>
      </c>
      <c r="E11" s="24" t="s">
        <v>17</v>
      </c>
      <c r="F11" s="24">
        <f>BoardQty*1</f>
        <v>50</v>
      </c>
      <c r="G11" s="25">
        <f>IF(MIN(AC11,Q11,AI11,K11,W11)&lt;&gt;0,MIN(AC11,Q11,AI11,K11,W11),"")</f>
        <v>0.054</v>
      </c>
      <c r="H11" s="26">
        <f>IF(AND(ISNUMBER(F11),ISNUMBER(G11)),F11*G11,"")</f>
        <v>2.7</v>
      </c>
      <c r="I11" s="27" t="s">
        <v>152</v>
      </c>
      <c r="J11" s="24"/>
      <c r="N11" s="24" t="s">
        <v>151</v>
      </c>
      <c r="O11" s="24">
        <v>825290</v>
      </c>
      <c r="P11" s="24"/>
      <c r="Q11" s="25">
        <f>IFERROR(IF(OR(P11&gt;=R11,F11&gt;=R11),LOOKUP(IF(P11="",F11,P11),{0,1,10,50,100,500,1000,2500,5000,12500,25000,62500,125000,250000},{0.0,0.13,0.095,0.054,0.0448,0.03142,0.02601,0.02421,0.02215,0.01957,0.01854,0.017,0.01404,0.01288}),"MOQ="&amp;R11),"")</f>
        <v>0.054</v>
      </c>
      <c r="R11" s="24">
        <v>1</v>
      </c>
      <c r="S11" s="26">
        <f>IFERROR(IF(P11="",F11,P11)*Q11,"")</f>
        <v>2.7</v>
      </c>
      <c r="T11" s="24" t="s">
        <v>166</v>
      </c>
      <c r="U11" s="24">
        <v>29500</v>
      </c>
      <c r="V11" s="24"/>
      <c r="W11" s="25" t="str">
        <f>IFERROR(IF(OR(V11&gt;=X11,F11&gt;=X11),LOOKUP(IF(V11="",F11,V11),{0,1,100,300,1000,2500,5000},{0.0,0.0386,0.0386,0.0272,0.0236,0.0214,0.0207}),"MOQ="&amp;X11),"")</f>
        <v/>
      </c>
      <c r="X11" s="24">
        <v>100</v>
      </c>
      <c r="Y11" s="26" t="str">
        <f>IFERROR(IF(V11="",F11,V11)*W11,"")</f>
        <v/>
      </c>
      <c r="Z11" s="24" t="s">
        <v>172</v>
      </c>
      <c r="AA11" s="24">
        <v>9987</v>
      </c>
      <c r="AB11" s="24"/>
      <c r="AC11" s="25" t="str">
        <f>IFERROR(IF(OR(AB11&gt;=AD11,F11&gt;=AD11),LOOKUP(IF(AB11="",F11,AB11),{0,1,2500},{0.0,0.2329,0.2329}),"MOQ="&amp;AD11),"")</f>
        <v/>
      </c>
      <c r="AD11" s="24">
        <v>2500</v>
      </c>
      <c r="AE11" s="26" t="str">
        <f>IFERROR(IF(AB11="",F11,AB11)*AC11,"")</f>
        <v/>
      </c>
      <c r="AF11" s="24" t="s">
        <v>175</v>
      </c>
      <c r="AG11" s="24">
        <v>102385</v>
      </c>
      <c r="AH11" s="24"/>
      <c r="AI11" s="25">
        <f>IFERROR(IF(OR(AH11&gt;=AJ11,F11&gt;=AJ11),USD_GBP*LOOKUP(IF(AH11="",F11,AH11),{0,1,5,50,250,500,1000},{0.0,0.171,0.171,0.168,0.164,0.161,0.157}),"MOQ="&amp;AJ11),"")</f>
        <v>0.207741935483871</v>
      </c>
      <c r="AJ11" s="24">
        <v>5</v>
      </c>
      <c r="AK11" s="26">
        <f>IFERROR(IF(AH11="",F11,AH11)*AI11,"")</f>
        <v>10.3871</v>
      </c>
      <c r="AL11" s="24" t="s">
        <v>178</v>
      </c>
    </row>
    <row r="12" spans="1:38">
      <c r="A12" s="24" t="s">
        <v>19</v>
      </c>
      <c r="B12" s="24" t="s">
        <v>21</v>
      </c>
      <c r="C12" s="24" t="s">
        <v>136</v>
      </c>
      <c r="D12" s="24" t="s">
        <v>22</v>
      </c>
      <c r="E12" s="24" t="s">
        <v>23</v>
      </c>
      <c r="F12" s="24">
        <f>BoardQty*1</f>
        <v>50</v>
      </c>
      <c r="G12" s="25">
        <f>IF(MIN(AC12,Q12,AI12,K12,W12)&lt;&gt;0,MIN(AC12,Q12,AI12,K12,W12),"")</f>
        <v>1.5007</v>
      </c>
      <c r="H12" s="26">
        <f>IF(AND(ISNUMBER(F12),ISNUMBER(G12)),F12*G12,"")</f>
        <v>75.035</v>
      </c>
      <c r="I12" s="24">
        <v>1115</v>
      </c>
      <c r="J12" s="24"/>
      <c r="K12" s="25">
        <f>IFERROR(IF(OR(J12&gt;=L12,F12&gt;=L12),LOOKUP(IF(J12="",F12,J12),{0,1,10,50,100,500},{0.0,2.21,1.78,1.56,1.36,1.03}),"MOQ="&amp;L12),"")</f>
        <v>1.56</v>
      </c>
      <c r="L12" s="24">
        <v>1</v>
      </c>
      <c r="M12" s="26">
        <f>IFERROR(IF(J12="",F12,J12)*K12,"")</f>
        <v>78.0</v>
      </c>
      <c r="N12" s="24" t="s">
        <v>153</v>
      </c>
      <c r="AA12" s="24">
        <v>1500</v>
      </c>
      <c r="AB12" s="24"/>
      <c r="AC12" s="25">
        <f>IFERROR(IF(OR(AB12&gt;=AD12,F12&gt;=AD12),LOOKUP(IF(AB12="",F12,AB12),{0,1,10,25,100,250,500,1000},{0.0,1.9495,1.5366,1.5007,1.189,1.1742,0.9338,0.9245}),"MOQ="&amp;AD12),"")</f>
        <v>1.5007</v>
      </c>
      <c r="AD12" s="24">
        <v>1</v>
      </c>
      <c r="AE12" s="26">
        <f>IFERROR(IF(AB12="",F12,AB12)*AC12,"")</f>
        <v>75.035</v>
      </c>
      <c r="AF12" s="24" t="s">
        <v>23</v>
      </c>
      <c r="AG12" s="24">
        <v>224</v>
      </c>
      <c r="AH12" s="24"/>
      <c r="AI12" s="25">
        <f>IFERROR(IF(OR(AH12&gt;=AJ12,F12&gt;=AJ12),USD_GBP*LOOKUP(IF(AH12="",F12,AH12),{0,1,10,50,100,200},{0.0,1.85,1.5,1.31,1.14,1.12}),"MOQ="&amp;AJ12),"")</f>
        <v>1.6198924731182796</v>
      </c>
      <c r="AJ12" s="24">
        <v>1</v>
      </c>
      <c r="AK12" s="26">
        <f>IFERROR(IF(AH12="",F12,AH12)*AI12,"")</f>
        <v>80.9946</v>
      </c>
      <c r="AL12" s="24" t="s">
        <v>179</v>
      </c>
    </row>
    <row r="13" spans="1:38">
      <c r="A13" s="24" t="s">
        <v>25</v>
      </c>
      <c r="B13" s="24" t="s">
        <v>27</v>
      </c>
      <c r="C13" s="24" t="s">
        <v>137</v>
      </c>
      <c r="D13" s="24" t="s">
        <v>28</v>
      </c>
      <c r="E13" s="28" t="s">
        <v>27</v>
      </c>
      <c r="F13" s="24">
        <f>BoardQty*1</f>
        <v>50</v>
      </c>
      <c r="G13" s="25">
        <f>IF(MIN(AC13,Q13,AI13,K13,W13)&lt;&gt;0,MIN(AC13,Q13,AI13,K13,W13),"")</f>
        <v>0.14467741935483872</v>
      </c>
      <c r="H13" s="26">
        <f>IF(AND(ISNUMBER(F13),ISNUMBER(G13)),F13*G13,"")</f>
        <v>7.2339</v>
      </c>
      <c r="I13" s="27" t="s">
        <v>152</v>
      </c>
      <c r="J13" s="24"/>
      <c r="N13" s="24" t="s">
        <v>154</v>
      </c>
      <c r="AG13" s="27" t="s">
        <v>152</v>
      </c>
      <c r="AH13" s="24"/>
      <c r="AI13" s="25">
        <f>IFERROR(IF(OR(AH13&gt;=AJ13,F13&gt;=AJ13),USD_GBP*LOOKUP(IF(AH13="",F13,AH13),{0,1,5,25,100,250,500,1000,5000},{0.0,0.119,0.119,0.117,0.0496,0.0466,0.0367,0.0255,0.0163}),"MOQ="&amp;AJ13),"")</f>
        <v>0.14467741935483872</v>
      </c>
      <c r="AJ13" s="24">
        <v>5</v>
      </c>
      <c r="AK13" s="26">
        <f>IFERROR(IF(AH13="",F13,AH13)*AI13,"")</f>
        <v>7.2339</v>
      </c>
      <c r="AL13" s="24" t="s">
        <v>180</v>
      </c>
    </row>
    <row r="14" spans="1:38">
      <c r="A14" s="24" t="s">
        <v>30</v>
      </c>
      <c r="B14" s="24" t="s">
        <v>31</v>
      </c>
      <c r="C14" s="24" t="s">
        <v>138</v>
      </c>
      <c r="D14" s="24" t="s">
        <v>33</v>
      </c>
      <c r="E14" s="24" t="s">
        <v>34</v>
      </c>
      <c r="F14" s="24">
        <f>CEILING(BoardQty*2,1)</f>
        <v>100</v>
      </c>
      <c r="G14" s="25">
        <f>IF(MIN(AC14,Q14,AI14,K14,W14)&lt;&gt;0,MIN(AC14,Q14,AI14,K14,W14),"")</f>
        <v>0.077</v>
      </c>
      <c r="H14" s="26">
        <f>IF(AND(ISNUMBER(F14),ISNUMBER(G14)),F14*G14,"")</f>
        <v>7.7</v>
      </c>
      <c r="I14" s="24">
        <v>959119</v>
      </c>
      <c r="J14" s="24"/>
      <c r="K14" s="25">
        <f>IFERROR(IF(OR(J14&gt;=L14,F14&gt;=L14),LOOKUP(IF(J14="",F14,J14),{0,1,10,100,500,1000,5000,10000,16000},{0.0,0.3,0.164,0.077,0.071,0.054,0.047,0.043,0.037}),"MOQ="&amp;L14),"")</f>
        <v>0.077</v>
      </c>
      <c r="L14" s="24">
        <v>1</v>
      </c>
      <c r="M14" s="26">
        <f>IFERROR(IF(J14="",F14,J14)*K14,"")</f>
        <v>7.7</v>
      </c>
      <c r="N14" s="24" t="s">
        <v>155</v>
      </c>
    </row>
    <row r="15" spans="1:38">
      <c r="A15" s="24" t="s">
        <v>36</v>
      </c>
      <c r="B15" s="24" t="s">
        <v>37</v>
      </c>
      <c r="C15" s="24" t="s">
        <v>139</v>
      </c>
      <c r="D15" s="24" t="s">
        <v>38</v>
      </c>
      <c r="E15" s="24" t="s">
        <v>39</v>
      </c>
      <c r="F15" s="24">
        <f>BoardQty*1</f>
        <v>50</v>
      </c>
      <c r="G15" s="25">
        <f>IF(MIN(AC15,Q15,AI15,K15,W15)&lt;&gt;0,MIN(AC15,Q15,AI15,K15,W15),"")</f>
        <v>1.4591397849462364</v>
      </c>
      <c r="H15" s="26">
        <f>IF(AND(ISNUMBER(F15),ISNUMBER(G15)),F15*G15,"")</f>
        <v>72.957</v>
      </c>
      <c r="I15" s="24">
        <v>1538</v>
      </c>
      <c r="J15" s="24"/>
      <c r="K15" s="25">
        <f>IFERROR(IF(OR(J15&gt;=L15,F15&gt;=L15),LOOKUP(IF(J15="",F15,J15),{0,1,10,50,100,250,500,1000,2500},{0.0,1.8,1.71,1.52,1.4,1.39,1.22,1.06,1.04}),"MOQ="&amp;L15),"")</f>
        <v>1.52</v>
      </c>
      <c r="L15" s="24">
        <v>1</v>
      </c>
      <c r="M15" s="26">
        <f>IFERROR(IF(J15="",F15,J15)*K15,"")</f>
        <v>76.0</v>
      </c>
      <c r="N15" s="24" t="s">
        <v>156</v>
      </c>
      <c r="O15" s="24">
        <v>1731</v>
      </c>
      <c r="P15" s="24"/>
      <c r="Q15" s="25">
        <f>IFERROR(IF(OR(P15&gt;=R15,F15&gt;=R15),LOOKUP(IF(P15="",F15,P15),{0,1,10,50,100,250,500,1250},{0.0,1.8,1.71,1.52,1.4,1.4,1.22,1.04001}),"MOQ="&amp;R15),"")</f>
        <v>1.52</v>
      </c>
      <c r="R15" s="24">
        <v>1</v>
      </c>
      <c r="S15" s="26">
        <f>IFERROR(IF(P15="",F15,P15)*Q15,"")</f>
        <v>76.0</v>
      </c>
      <c r="T15" s="24" t="s">
        <v>167</v>
      </c>
      <c r="AG15" s="24">
        <v>1006</v>
      </c>
      <c r="AH15" s="24"/>
      <c r="AI15" s="25">
        <f>IFERROR(IF(OR(AH15&gt;=AJ15,F15&gt;=AJ15),USD_GBP*LOOKUP(IF(AH15="",F15,AH15),{0,1,10,100,250,500,1000},{0.0,1.39,1.18,1.08,1.01,0.941,0.83}),"MOQ="&amp;AJ15),"")</f>
        <v>1.4591397849462364</v>
      </c>
      <c r="AJ15" s="24">
        <v>1</v>
      </c>
      <c r="AK15" s="26">
        <f>IFERROR(IF(AH15="",F15,AH15)*AI15,"")</f>
        <v>72.957</v>
      </c>
      <c r="AL15" s="24" t="s">
        <v>181</v>
      </c>
    </row>
    <row r="16" spans="1:38">
      <c r="A16" s="24" t="s">
        <v>41</v>
      </c>
      <c r="B16" s="24" t="s">
        <v>43</v>
      </c>
      <c r="C16" s="24" t="s">
        <v>140</v>
      </c>
      <c r="D16" s="24" t="s">
        <v>44</v>
      </c>
      <c r="E16" s="24" t="s">
        <v>45</v>
      </c>
      <c r="F16" s="24">
        <f>BoardQty*1</f>
        <v>50</v>
      </c>
      <c r="G16" s="25">
        <f>IF(MIN(AC16,Q16,AI16,K16,W16)&lt;&gt;0,MIN(AC16,Q16,AI16,K16,W16),"")</f>
        <v>0.221</v>
      </c>
      <c r="H16" s="26">
        <f>IF(AND(ISNUMBER(F16),ISNUMBER(G16)),F16*G16,"")</f>
        <v>11.05</v>
      </c>
      <c r="I16" s="24">
        <v>43141</v>
      </c>
      <c r="J16" s="24"/>
      <c r="K16" s="25">
        <f>IFERROR(IF(OR(J16&gt;=L16,F16&gt;=L16),LOOKUP(IF(J16="",F16,J16),{0,1,10,100,500,1000,2000,10000,25000,50000},{0.0,0.3,0.221,0.186,0.168,0.139,0.119,0.112,0.106,0.103}),"MOQ="&amp;L16),"")</f>
        <v>0.221</v>
      </c>
      <c r="L16" s="24">
        <v>1</v>
      </c>
      <c r="M16" s="26">
        <f>IFERROR(IF(J16="",F16,J16)*K16,"")</f>
        <v>11.05</v>
      </c>
      <c r="N16" s="24" t="s">
        <v>157</v>
      </c>
      <c r="O16" s="24">
        <v>57611</v>
      </c>
      <c r="P16" s="24"/>
      <c r="Q16" s="25">
        <f>IFERROR(IF(OR(P16&gt;=R16,F16&gt;=R16),LOOKUP(IF(P16="",F16,P16),{0,1,10,100,500,1000,5000,10000},{0.0,0.3,0.255,0.198,0.16968,0.1414,0.1212,0.11312}),"MOQ="&amp;R16),"")</f>
        <v>0.255</v>
      </c>
      <c r="R16" s="24">
        <v>1</v>
      </c>
      <c r="S16" s="26">
        <f>IFERROR(IF(P16="",F16,P16)*Q16,"")</f>
        <v>12.75</v>
      </c>
      <c r="T16" s="24" t="s">
        <v>46</v>
      </c>
      <c r="AG16" s="24">
        <v>2660</v>
      </c>
      <c r="AH16" s="24"/>
      <c r="AI16" s="25" t="str">
        <f>IFERROR(IF(OR(AH16&gt;=AJ16,F16&gt;=AJ16),USD_GBP*LOOKUP(IF(AH16="",F16,AH16),{0,1,100,500,1000,2500,5000,10000},{0.0,0.173,0.173,0.149,0.124,0.115,0.106,0.099}),"MOQ="&amp;AJ16),"")</f>
        <v/>
      </c>
      <c r="AJ16" s="24">
        <v>100</v>
      </c>
      <c r="AK16" s="26" t="str">
        <f>IFERROR(IF(AH16="",F16,AH16)*AI16,"")</f>
        <v/>
      </c>
      <c r="AL16" s="24" t="s">
        <v>182</v>
      </c>
    </row>
    <row r="17" spans="1:38">
      <c r="A17" s="24" t="s">
        <v>47</v>
      </c>
      <c r="B17" s="24" t="s">
        <v>49</v>
      </c>
      <c r="C17" s="24" t="s">
        <v>141</v>
      </c>
      <c r="D17" s="24" t="s">
        <v>44</v>
      </c>
      <c r="E17" s="24" t="s">
        <v>50</v>
      </c>
      <c r="F17" s="24">
        <f>BoardQty*1</f>
        <v>50</v>
      </c>
      <c r="G17" s="25">
        <f>IF(MIN(AC17,Q17,AI17,K17,W17)&lt;&gt;0,MIN(AC17,Q17,AI17,K17,W17),"")</f>
        <v>0.195</v>
      </c>
      <c r="H17" s="26">
        <f>IF(AND(ISNUMBER(F17),ISNUMBER(G17)),F17*G17,"")</f>
        <v>9.75</v>
      </c>
      <c r="I17" s="24">
        <v>50167</v>
      </c>
      <c r="J17" s="24"/>
      <c r="K17" s="25">
        <f>IFERROR(IF(OR(J17&gt;=L17,F17&gt;=L17),LOOKUP(IF(J17="",F17,J17),{0,1,10,100,500,1000,2000,10000,25000,50000},{0.0,0.26,0.195,0.159,0.143,0.116,0.104,0.094,0.087,0.084}),"MOQ="&amp;L17),"")</f>
        <v>0.195</v>
      </c>
      <c r="L17" s="24">
        <v>1</v>
      </c>
      <c r="M17" s="26">
        <f>IFERROR(IF(J17="",F17,J17)*K17,"")</f>
        <v>9.75</v>
      </c>
      <c r="N17" s="24" t="s">
        <v>158</v>
      </c>
      <c r="O17" s="24">
        <v>124293</v>
      </c>
      <c r="P17" s="24"/>
      <c r="Q17" s="25">
        <f>IFERROR(IF(OR(P17&gt;=R17,F17&gt;=R17),LOOKUP(IF(P17="",F17,P17),{0,1,10,100,500,1000,5000,10000},{0.0,0.26,0.222,0.1707,0.14444,0.11817,0.10504,0.09519}),"MOQ="&amp;R17),"")</f>
        <v>0.222</v>
      </c>
      <c r="R17" s="24">
        <v>1</v>
      </c>
      <c r="S17" s="26">
        <f>IFERROR(IF(P17="",F17,P17)*Q17,"")</f>
        <v>11.1</v>
      </c>
      <c r="T17" s="24" t="s">
        <v>51</v>
      </c>
      <c r="AG17" s="24">
        <v>16237</v>
      </c>
      <c r="AH17" s="24"/>
      <c r="AI17" s="25" t="str">
        <f>IFERROR(IF(OR(AH17&gt;=AJ17,F17&gt;=AJ17),USD_GBP*LOOKUP(IF(AH17="",F17,AH17),{0,1,100,500,1000,2500,5000,10000},{0.0,0.146,0.146,0.124,0.101,0.0955,0.09,0.0815}),"MOQ="&amp;AJ17),"")</f>
        <v/>
      </c>
      <c r="AJ17" s="24">
        <v>100</v>
      </c>
      <c r="AK17" s="26" t="str">
        <f>IFERROR(IF(AH17="",F17,AH17)*AI17,"")</f>
        <v/>
      </c>
      <c r="AL17" s="24" t="s">
        <v>183</v>
      </c>
    </row>
    <row r="18" spans="1:38">
      <c r="A18" s="24" t="s">
        <v>52</v>
      </c>
      <c r="B18" s="24" t="s">
        <v>54</v>
      </c>
      <c r="C18" s="24" t="s">
        <v>142</v>
      </c>
      <c r="D18" s="24" t="s">
        <v>44</v>
      </c>
      <c r="E18" s="24" t="s">
        <v>55</v>
      </c>
      <c r="F18" s="24">
        <f>BoardQty*1</f>
        <v>50</v>
      </c>
      <c r="G18" s="25">
        <f>IF(MIN(AC18,Q18,AI18,K18,W18)&lt;&gt;0,MIN(AC18,Q18,AI18,K18,W18),"")</f>
        <v>0.221</v>
      </c>
      <c r="H18" s="26">
        <f>IF(AND(ISNUMBER(F18),ISNUMBER(G18)),F18*G18,"")</f>
        <v>11.05</v>
      </c>
      <c r="I18" s="24">
        <v>86859</v>
      </c>
      <c r="J18" s="24"/>
      <c r="K18" s="25">
        <f>IFERROR(IF(OR(J18&gt;=L18,F18&gt;=L18),LOOKUP(IF(J18="",F18,J18),{0,1,10,100,500,1000,2000,10000,25000,50000},{0.0,0.3,0.221,0.186,0.168,0.139,0.119,0.112,0.106,0.103}),"MOQ="&amp;L18),"")</f>
        <v>0.221</v>
      </c>
      <c r="L18" s="24">
        <v>1</v>
      </c>
      <c r="M18" s="26">
        <f>IFERROR(IF(J18="",F18,J18)*K18,"")</f>
        <v>11.05</v>
      </c>
      <c r="N18" s="24" t="s">
        <v>159</v>
      </c>
      <c r="O18" s="24">
        <v>42932</v>
      </c>
      <c r="P18" s="24"/>
      <c r="Q18" s="25">
        <f>IFERROR(IF(OR(P18&gt;=R18,F18&gt;=R18),LOOKUP(IF(P18="",F18,P18),{0,1,10,100,500,1000,5000,10000},{0.0,0.3,0.255,0.198,0.16968,0.1414,0.1212,0.11312}),"MOQ="&amp;R18),"")</f>
        <v>0.255</v>
      </c>
      <c r="R18" s="24">
        <v>1</v>
      </c>
      <c r="S18" s="26">
        <f>IFERROR(IF(P18="",F18,P18)*Q18,"")</f>
        <v>12.75</v>
      </c>
      <c r="T18" s="24" t="s">
        <v>56</v>
      </c>
      <c r="AG18" s="24">
        <v>209923</v>
      </c>
      <c r="AH18" s="24"/>
      <c r="AI18" s="25" t="str">
        <f>IFERROR(IF(OR(AH18&gt;=AJ18,F18&gt;=AJ18),USD_GBP*LOOKUP(IF(AH18="",F18,AH18),{0,1,100,500,1000,2500,5000,10000},{0.0,0.169,0.169,0.145,0.121,0.113,0.104,0.0968}),"MOQ="&amp;AJ18),"")</f>
        <v/>
      </c>
      <c r="AJ18" s="24">
        <v>100</v>
      </c>
      <c r="AK18" s="26" t="str">
        <f>IFERROR(IF(AH18="",F18,AH18)*AI18,"")</f>
        <v/>
      </c>
      <c r="AL18" s="24" t="s">
        <v>184</v>
      </c>
    </row>
    <row r="19" spans="1:38">
      <c r="A19" s="24" t="s">
        <v>57</v>
      </c>
      <c r="B19" s="24" t="s">
        <v>59</v>
      </c>
      <c r="C19" s="24" t="s">
        <v>143</v>
      </c>
      <c r="D19" s="24" t="s">
        <v>28</v>
      </c>
      <c r="E19" s="24" t="s">
        <v>61</v>
      </c>
      <c r="F19" s="24">
        <f>CEILING(BoardQty*3,1)</f>
        <v>150</v>
      </c>
      <c r="G19" s="25">
        <f>IF(MIN(AC19,Q19,AI19,K19,W19)&lt;&gt;0,MIN(AC19,Q19,AI19,K19,W19),"")</f>
        <v>0.0103</v>
      </c>
      <c r="H19" s="26">
        <f>IF(AND(ISNUMBER(F19),ISNUMBER(G19)),F19*G19,"")</f>
        <v>1.545</v>
      </c>
      <c r="I19" s="24">
        <v>204557</v>
      </c>
      <c r="J19" s="24"/>
      <c r="K19" s="25">
        <f>IFERROR(IF(OR(J19&gt;=L19,F19&gt;=L19),LOOKUP(IF(J19="",F19,J19),{0,1,10,100,1000,2500,5000},{0.0,0.1,0.029,0.012,0.006,0.005,0.003}),"MOQ="&amp;L19),"")</f>
        <v>0.012</v>
      </c>
      <c r="L19" s="24">
        <v>1</v>
      </c>
      <c r="M19" s="26">
        <f>IFERROR(IF(J19="",F19,J19)*K19,"")</f>
        <v>1.8</v>
      </c>
      <c r="N19" s="24" t="s">
        <v>160</v>
      </c>
      <c r="O19" s="24">
        <v>1482062</v>
      </c>
      <c r="P19" s="24"/>
      <c r="Q19" s="25">
        <f>IFERROR(IF(OR(P19&gt;=R19,F19&gt;=R19),LOOKUP(IF(P19="",F19,P19),{0,1,10,100,1000,2500,5000,10000,25000,50000,125000},{0.0,0.1,0.025,0.0103,0.00464,0.00403,0.00333,0.00289,0.00254,0.00233,0.00228}),"MOQ="&amp;R19),"")</f>
        <v>0.0103</v>
      </c>
      <c r="R19" s="24">
        <v>1</v>
      </c>
      <c r="S19" s="26">
        <f>IFERROR(IF(P19="",F19,P19)*Q19,"")</f>
        <v>1.545</v>
      </c>
      <c r="T19" s="24" t="s">
        <v>168</v>
      </c>
      <c r="AA19" s="24">
        <v>48608</v>
      </c>
      <c r="AB19" s="24"/>
      <c r="AC19" s="25">
        <f>IFERROR(IF(OR(AB19&gt;=AD19,F19&gt;=AD19),LOOKUP(IF(AB19="",F19,AB19),{0,1,10,25,100,250,500,1000,3000,5000,6000,30000},{0.0,0.0666,0.0408,0.0219,0.0104,0.01,0.0095,0.0051,0.0043,0.0029,0.0028,0.0025}),"MOQ="&amp;AD19),"")</f>
        <v>0.0104</v>
      </c>
      <c r="AD19" s="24">
        <v>1</v>
      </c>
      <c r="AE19" s="26">
        <f>IFERROR(IF(AB19="",F19,AB19)*AC19,"")</f>
        <v>1.56</v>
      </c>
      <c r="AF19" s="24" t="s">
        <v>61</v>
      </c>
      <c r="AG19" s="24">
        <v>291263</v>
      </c>
      <c r="AH19" s="24"/>
      <c r="AI19" s="25">
        <f>IFERROR(IF(OR(AH19&gt;=AJ19,F19&gt;=AJ19),USD_GBP*LOOKUP(IF(AH19="",F19,AH19),{0,1,10,100,500,1000,2500,5000,25000,50000},{0.0,0.026,0.026,0.011,0.008,0.005,0.004,0.0038,0.0035,0.0033}),"MOQ="&amp;AJ19),"")</f>
        <v>0.013602150537634408</v>
      </c>
      <c r="AJ19" s="24">
        <v>10</v>
      </c>
      <c r="AK19" s="26">
        <f>IFERROR(IF(AH19="",F19,AH19)*AI19,"")</f>
        <v>2.0403</v>
      </c>
      <c r="AL19" s="24" t="s">
        <v>185</v>
      </c>
    </row>
    <row r="20" spans="1:38">
      <c r="A20" s="24" t="s">
        <v>63</v>
      </c>
      <c r="B20" s="24" t="s">
        <v>64</v>
      </c>
      <c r="C20" s="24" t="s">
        <v>143</v>
      </c>
      <c r="D20" s="24" t="s">
        <v>28</v>
      </c>
      <c r="E20" s="24" t="s">
        <v>65</v>
      </c>
      <c r="F20" s="24">
        <f>BoardQty*1</f>
        <v>50</v>
      </c>
      <c r="G20" s="25">
        <f>IF(MIN(AC20,Q20,AI20,K20,W20)&lt;&gt;0,MIN(AC20,Q20,AI20,K20,W20),"")</f>
        <v>0.0237</v>
      </c>
      <c r="H20" s="26">
        <f>IF(AND(ISNUMBER(F20),ISNUMBER(G20)),F20*G20,"")</f>
        <v>1.185</v>
      </c>
      <c r="I20" s="24">
        <v>2738671</v>
      </c>
      <c r="J20" s="24"/>
      <c r="K20" s="25">
        <f>IFERROR(IF(OR(J20&gt;=L20,F20&gt;=L20),LOOKUP(IF(J20="",F20,J20),{0,1,10,100,1000,2500,5000},{0.0,0.1,0.029,0.012,0.006,0.005,0.003}),"MOQ="&amp;L20),"")</f>
        <v>0.029</v>
      </c>
      <c r="L20" s="24">
        <v>1</v>
      </c>
      <c r="M20" s="26">
        <f>IFERROR(IF(J20="",F20,J20)*K20,"")</f>
        <v>1.45</v>
      </c>
      <c r="N20" s="24" t="s">
        <v>161</v>
      </c>
      <c r="O20" s="24">
        <v>62487</v>
      </c>
      <c r="P20" s="24"/>
      <c r="Q20" s="25">
        <f>IFERROR(IF(OR(P20&gt;=R20,F20&gt;=R20),LOOKUP(IF(P20="",F20,P20),{0,1,10,100,1000,2500,5000,10000,25000,50000,125000},{0.0,0.1,0.025,0.0103,0.00464,0.00403,0.00333,0.00289,0.00254,0.00233,0.00228}),"MOQ="&amp;R20),"")</f>
        <v>0.025</v>
      </c>
      <c r="R20" s="24">
        <v>1</v>
      </c>
      <c r="S20" s="26">
        <f>IFERROR(IF(P20="",F20,P20)*Q20,"")</f>
        <v>1.25</v>
      </c>
      <c r="T20" s="24" t="s">
        <v>169</v>
      </c>
      <c r="AA20" s="24">
        <v>80000</v>
      </c>
      <c r="AB20" s="24"/>
      <c r="AC20" s="25">
        <f>IFERROR(IF(OR(AB20&gt;=AD20,F20&gt;=AD20),LOOKUP(IF(AB20="",F20,AB20),{0,1,10,25,100,250,500,1000,3000,5000,6000,15000,30000},{0.0,0.0666,0.0408,0.0237,0.0107,0.0106,0.0095,0.0052,0.0051,0.0026,0.0028,0.0027,0.0025}),"MOQ="&amp;AD20),"")</f>
        <v>0.0237</v>
      </c>
      <c r="AD20" s="24">
        <v>1</v>
      </c>
      <c r="AE20" s="26">
        <f>IFERROR(IF(AB20="",F20,AB20)*AC20,"")</f>
        <v>1.185</v>
      </c>
      <c r="AF20" s="24" t="s">
        <v>65</v>
      </c>
      <c r="AG20" s="24">
        <v>25460</v>
      </c>
      <c r="AH20" s="24"/>
      <c r="AI20" s="25">
        <f>IFERROR(IF(OR(AH20&gt;=AJ20,F20&gt;=AJ20),USD_GBP*LOOKUP(IF(AH20="",F20,AH20),{0,1,10,100,500,1000,2500},{0.0,0.0293,0.0293,0.0124,0.009,0.0056,0.0045}),"MOQ="&amp;AJ20),"")</f>
        <v>0.036231182795698924</v>
      </c>
      <c r="AJ20" s="24">
        <v>10</v>
      </c>
      <c r="AK20" s="26">
        <f>IFERROR(IF(AH20="",F20,AH20)*AI20,"")</f>
        <v>1.8116</v>
      </c>
      <c r="AL20" s="24" t="s">
        <v>186</v>
      </c>
    </row>
    <row r="21" spans="1:38">
      <c r="A21" s="24" t="s">
        <v>67</v>
      </c>
      <c r="B21" s="24" t="s">
        <v>69</v>
      </c>
      <c r="C21" s="24" t="s">
        <v>144</v>
      </c>
      <c r="D21" s="24" t="s">
        <v>70</v>
      </c>
      <c r="E21" s="24" t="s">
        <v>71</v>
      </c>
      <c r="F21" s="24">
        <f>BoardQty*1</f>
        <v>50</v>
      </c>
      <c r="G21" s="25">
        <f>IF(MIN(AC21,Q21,AI21,K21,W21)&lt;&gt;0,MIN(AC21,Q21,AI21,K21,W21),"")</f>
        <v>2.6</v>
      </c>
      <c r="H21" s="26">
        <f>IF(AND(ISNUMBER(F21),ISNUMBER(G21)),F21*G21,"")</f>
        <v>130.0</v>
      </c>
      <c r="I21" s="24">
        <v>110</v>
      </c>
      <c r="J21" s="24"/>
      <c r="K21" s="25">
        <f>IFERROR(IF(OR(J21&gt;=L21,F21&gt;=L21),LOOKUP(IF(J21="",F21,J21),{0,1,25,100,250},{0.0,2.91,2.68,2.63,2.62}),"MOQ="&amp;L21),"")</f>
        <v>2.68</v>
      </c>
      <c r="L21" s="24">
        <v>1</v>
      </c>
      <c r="M21" s="26">
        <f>IFERROR(IF(J21="",F21,J21)*K21,"")</f>
        <v>134.0</v>
      </c>
      <c r="N21" s="24" t="s">
        <v>162</v>
      </c>
      <c r="O21" s="24">
        <v>2748</v>
      </c>
      <c r="P21" s="24"/>
      <c r="Q21" s="25">
        <f>IFERROR(IF(OR(P21&gt;=R21,F21&gt;=R21),LOOKUP(IF(P21="",F21,P21),{0,1,25,100},{0.0,3.15,2.898,2.6335}),"MOQ="&amp;R21),"")</f>
        <v>2.898</v>
      </c>
      <c r="R21" s="24">
        <v>1</v>
      </c>
      <c r="S21" s="26">
        <f>IFERROR(IF(P21="",F21,P21)*Q21,"")</f>
        <v>144.9</v>
      </c>
      <c r="T21" s="24" t="s">
        <v>72</v>
      </c>
      <c r="U21" s="24">
        <v>177</v>
      </c>
      <c r="V21" s="24"/>
      <c r="W21" s="25">
        <f>IFERROR(IF(OR(V21&gt;=X21,F21&gt;=X21),LOOKUP(IF(V21="",F21,V21),{0,1,5,25,100},{0.0,2.8,2.75,2.6,2.41}),"MOQ="&amp;X21),"")</f>
        <v>2.6</v>
      </c>
      <c r="X21" s="24">
        <v>1</v>
      </c>
      <c r="Y21" s="26">
        <f>IFERROR(IF(V21="",F21,V21)*W21,"")</f>
        <v>130.0</v>
      </c>
      <c r="Z21" s="24" t="s">
        <v>71</v>
      </c>
      <c r="AA21" s="24">
        <v>985</v>
      </c>
      <c r="AB21" s="24"/>
      <c r="AC21" s="25">
        <f>IFERROR(IF(OR(AB21&gt;=AD21,F21&gt;=AD21),LOOKUP(IF(AB21="",F21,AB21),{0,1,25,100},{0.0,2.93,2.701,2.619}),"MOQ="&amp;AD21),"")</f>
        <v>2.701</v>
      </c>
      <c r="AD21" s="24">
        <v>1</v>
      </c>
      <c r="AE21" s="26">
        <f>IFERROR(IF(AB21="",F21,AB21)*AC21,"")</f>
        <v>135.05</v>
      </c>
      <c r="AF21" s="24" t="s">
        <v>71</v>
      </c>
      <c r="AG21" s="27" t="s">
        <v>152</v>
      </c>
      <c r="AH21" s="24"/>
      <c r="AI21" s="25">
        <f>IFERROR(IF(OR(AH21&gt;=AJ21,F21&gt;=AJ21),USD_GBP*LOOKUP(IF(AH21="",F21,AH21),{0,1,25,100,250},{0.0,2.74,2.53,2.47,2.42}),"MOQ="&amp;AJ21),"")</f>
        <v>3.128494623655914</v>
      </c>
      <c r="AJ21" s="24">
        <v>1</v>
      </c>
      <c r="AK21" s="26">
        <f>IFERROR(IF(AH21="",F21,AH21)*AI21,"")</f>
        <v>156.4247</v>
      </c>
      <c r="AL21" s="24" t="s">
        <v>187</v>
      </c>
    </row>
    <row r="23" spans="1:38">
      <c r="B23" s="29" t="s">
        <v>190</v>
      </c>
      <c r="G23" s="13" t="s">
        <v>188</v>
      </c>
      <c r="H23" s="15">
        <f>SUM(AE23,S23,AK23,M23,Y23)</f>
        <v>0</v>
      </c>
      <c r="I23" s="30" t="s">
        <v>163</v>
      </c>
      <c r="J23" s="16" t="str">
        <f>IFERROR(IF(COUNTIF(J10:J21,"&gt;0")&gt;0,COUNTIF(J10:J21,"&gt;0")&amp;" of "&amp;(ROWS(L10:L21)-COUNTBLANK(L10:L21))&amp;" parts purchased",""),"")</f>
        <v/>
      </c>
      <c r="M23" s="15">
        <f>SUMIF(J10:J21,"&gt;0",M10:M21)</f>
        <v>0</v>
      </c>
      <c r="O23" s="30" t="s">
        <v>163</v>
      </c>
      <c r="P23" s="16" t="str">
        <f>IFERROR(IF(COUNTIF(P10:P21,"&gt;0")&gt;0,COUNTIF(P10:P21,"&gt;0")&amp;" of "&amp;(ROWS(R10:R21)-COUNTBLANK(R10:R21))&amp;" parts purchased",""),"")</f>
        <v/>
      </c>
      <c r="S23" s="15">
        <f>SUMIF(P10:P21,"&gt;0",S10:S21)</f>
        <v>0</v>
      </c>
      <c r="U23" s="30" t="s">
        <v>163</v>
      </c>
      <c r="V23" s="16" t="str">
        <f>IFERROR(IF(COUNTIF(V10:V21,"&gt;0")&gt;0,COUNTIF(V10:V21,"&gt;0")&amp;" of "&amp;(ROWS(X10:X21)-COUNTBLANK(X10:X21))&amp;" parts purchased",""),"")</f>
        <v/>
      </c>
      <c r="Y23" s="15">
        <f>SUMIF(V10:V21,"&gt;0",Y10:Y21)</f>
        <v>0</v>
      </c>
      <c r="AA23" s="30" t="s">
        <v>163</v>
      </c>
      <c r="AB23" s="16" t="str">
        <f>IFERROR(IF(COUNTIF(AB10:AB21,"&gt;0")&gt;0,COUNTIF(AB10:AB21,"&gt;0")&amp;" of "&amp;(ROWS(AD10:AD21)-COUNTBLANK(AD10:AD21))&amp;" parts purchased",""),"")</f>
        <v/>
      </c>
      <c r="AE23" s="15">
        <f>SUMIF(AB10:AB21,"&gt;0",AE10:AE21)</f>
        <v>0</v>
      </c>
      <c r="AG23" s="30" t="s">
        <v>163</v>
      </c>
      <c r="AH23" s="16" t="str">
        <f>IFERROR(IF(COUNTIF(AH10:AH21,"&gt;0")&gt;0,COUNTIF(AH10:AH21,"&gt;0")&amp;" of "&amp;(ROWS(AJ10:AJ21)-COUNTBLANK(AJ10:AJ21))&amp;" parts purchased",""),"")</f>
        <v/>
      </c>
      <c r="AK23" s="15">
        <f>SUMIF(AH10:AH21,"&gt;0",AK10:AK21)</f>
        <v>0</v>
      </c>
    </row>
    <row r="24" spans="1:38">
      <c r="B24" s="29" t="s">
        <v>191</v>
      </c>
      <c r="C24">
        <v>1.236559139784946</v>
      </c>
      <c r="G24" s="29" t="s">
        <v>189</v>
      </c>
      <c r="J24" s="31" t="str">
        <f>CONCATENATE(J37,J38,J39,J40,J41,J42,J43,J44,J45,J46,J47,J48)</f>
        <v/>
      </c>
      <c r="P24" s="31" t="str">
        <f>CONCATENATE(P37,P38,P39,P40,P41,P42,P43,P44,P45,P46,P47,P48)</f>
        <v/>
      </c>
      <c r="V24" s="31" t="str">
        <f>CONCATENATE(V37,V38,V39,V40,V41,V42,V43,V44,V45,V46,V47,V48)</f>
        <v/>
      </c>
      <c r="AB24" s="31" t="str">
        <f>CONCATENATE(AB37,AB38,AB39,AB40,AB41,AB42,AB43,AB44,AB45,AB46,AB47,AB48)</f>
        <v/>
      </c>
      <c r="AH24" s="31" t="str">
        <f>CONCATENATE(AH37,AH38,AH39,AH40,AH41,AH42,AH43,AH44,AH45,AH46,AH47,AH48)</f>
        <v/>
      </c>
    </row>
    <row r="26" spans="1:38">
      <c r="A26" s="32" t="s">
        <v>195</v>
      </c>
      <c r="B26" s="33" t="s">
        <v>196</v>
      </c>
    </row>
    <row r="27" spans="1:38">
      <c r="A27" s="34" t="s">
        <v>197</v>
      </c>
    </row>
    <row r="37" spans="10:34" ht="30" hidden="1" customHeight="1">
      <c r="J37" t="str">
        <f t="array" ref="J37:J48">IF(ISNUMBER(J10:J21)*(J10:J21&gt;=L10:L21)*(N10:N21&lt;&gt;""),N10:N21&amp;"|"&amp;TEXT(ROUNDUP(J10:J21/IF(ISNUMBER(L10:L21),L10:L21,1),0)*L10:L21,"##0")&amp;"|"&amp;SUBSTITUTE(SUBSTITUTE(SUBSTITUTE(IF(PURCHASE_DESCRIPTION&lt;&gt;"",PURCHASE_DESCRIPTION&amp;":","")&amp;A10:A21,"|",";")," ","_"),"
","_")&amp;CHAR(10),"")</f>
        <v/>
      </c>
      <c r="P37" t="str">
        <f t="array" ref="P37:P48">IF(ISNUMBER(P10:P21)*(P10:P21&gt;=R10:R21)*(T10:T21&lt;&gt;""),TEXT(ROUNDUP(P10:P21/IF(ISNUMBER(R10:R21),R10:R21,1),0)*R10:R21,"##0")&amp;","&amp;T10:T21&amp;","&amp;SUBSTITUTE(SUBSTITUTE(IF(PURCHASE_DESCRIPTION&lt;&gt;"",PURCHASE_DESCRIPTION&amp;":","")&amp;A10:A21,",",";"),"
"," ")&amp;CHAR(10),"")</f>
        <v/>
      </c>
      <c r="V37" t="str">
        <f t="array" ref="V37:V48">IF(ISNUMBER(V10:V21)*(V10:V21&gt;=X10:X21)*(Z10:Z21&lt;&gt;""),Z10:Z21&amp;" "&amp;TEXT(ROUNDUP(V10:V21/IF(ISNUMBER(X10:X21),X10:X21,1),0)*X10:X21,"##0")&amp;" "&amp;SUBSTITUTE(SUBSTITUTE(IF(PURCHASE_DESCRIPTION&lt;&gt;"",PURCHASE_DESCRIPTION&amp;":","")&amp;A10:A21," ",";"),"
",";")&amp;CHAR(10),"")</f>
        <v/>
      </c>
      <c r="AB37" t="str">
        <f t="array" ref="AB37:AB48">IF(ISNUMBER(AB10:AB21)*(AB10:AB21&gt;=AD10:AD21)*(AF10:AF21&lt;&gt;""),AF10:AF21&amp;","&amp;TEXT(ROUNDUP(AB10:AB21/IF(ISNUMBER(AD10:AD21),AD10:AD21,1),0)*AD10:AD21,"##0")&amp;","&amp;SUBSTITUTE(SUBSTITUTE(IF(PURCHASE_DESCRIPTION&lt;&gt;"",PURCHASE_DESCRIPTION&amp;":","")&amp;A10:A21,",",";"),"
"," ")&amp;CHAR(10),"")</f>
        <v/>
      </c>
      <c r="AH37" t="str">
        <f t="array" ref="AH37:AH48">IF(ISNUMBER(AH10:AH21)*(AH10:AH21&gt;=AJ10:AJ21)*(AL10:AL21&lt;&gt;""),AL10:AL21&amp;","&amp;TEXT(ROUNDUP(AH10:AH21/IF(ISNUMBER(AJ10:AJ21),AJ10:AJ21,1),0)*AJ10:AJ21,"##0")&amp;","&amp;""&amp;","&amp;LEFT(SUBSTITUTE(SUBSTITUTE(IF(PURCHASE_DESCRIPTION&lt;&gt;"",PURCHASE_DESCRIPTION&amp;":","")&amp;A10:A21,",",";"),"
"," "),30)&amp;CHAR(10),"")</f>
        <v/>
      </c>
    </row>
    <row r="38" spans="10:34" ht="30" hidden="1" customHeight="1">
      <c r="J38">
        <v>0</v>
      </c>
      <c r="P38">
        <v>0</v>
      </c>
      <c r="V38">
        <v>0</v>
      </c>
      <c r="AB38">
        <v>0</v>
      </c>
      <c r="AH38">
        <v>0</v>
      </c>
    </row>
    <row r="39" spans="10:34" ht="30" hidden="1" customHeight="1">
      <c r="J39">
        <v>0</v>
      </c>
      <c r="P39">
        <v>0</v>
      </c>
      <c r="V39">
        <v>0</v>
      </c>
      <c r="AB39">
        <v>0</v>
      </c>
      <c r="AH39">
        <v>0</v>
      </c>
    </row>
    <row r="40" spans="10:34" ht="30" hidden="1" customHeight="1">
      <c r="J40">
        <v>0</v>
      </c>
      <c r="P40">
        <v>0</v>
      </c>
      <c r="V40">
        <v>0</v>
      </c>
      <c r="AB40">
        <v>0</v>
      </c>
      <c r="AH40">
        <v>0</v>
      </c>
    </row>
    <row r="41" spans="10:34" ht="30" hidden="1" customHeight="1">
      <c r="J41">
        <v>0</v>
      </c>
      <c r="P41">
        <v>0</v>
      </c>
      <c r="V41">
        <v>0</v>
      </c>
      <c r="AB41">
        <v>0</v>
      </c>
      <c r="AH41">
        <v>0</v>
      </c>
    </row>
    <row r="42" spans="10:34" ht="30" hidden="1" customHeight="1">
      <c r="J42">
        <v>0</v>
      </c>
      <c r="P42">
        <v>0</v>
      </c>
      <c r="V42">
        <v>0</v>
      </c>
      <c r="AB42">
        <v>0</v>
      </c>
      <c r="AH42">
        <v>0</v>
      </c>
    </row>
    <row r="43" spans="10:34" ht="30" hidden="1" customHeight="1">
      <c r="J43">
        <v>0</v>
      </c>
      <c r="P43">
        <v>0</v>
      </c>
      <c r="V43">
        <v>0</v>
      </c>
      <c r="AB43">
        <v>0</v>
      </c>
      <c r="AH43">
        <v>0</v>
      </c>
    </row>
    <row r="44" spans="10:34" ht="30" hidden="1" customHeight="1">
      <c r="J44">
        <v>0</v>
      </c>
      <c r="P44">
        <v>0</v>
      </c>
      <c r="V44">
        <v>0</v>
      </c>
      <c r="AB44">
        <v>0</v>
      </c>
      <c r="AH44">
        <v>0</v>
      </c>
    </row>
    <row r="45" spans="10:34" ht="30" hidden="1" customHeight="1">
      <c r="J45">
        <v>0</v>
      </c>
      <c r="P45">
        <v>0</v>
      </c>
      <c r="V45">
        <v>0</v>
      </c>
      <c r="AB45">
        <v>0</v>
      </c>
      <c r="AH45">
        <v>0</v>
      </c>
    </row>
    <row r="46" spans="10:34" ht="30" hidden="1" customHeight="1">
      <c r="J46">
        <v>0</v>
      </c>
      <c r="P46">
        <v>0</v>
      </c>
      <c r="V46">
        <v>0</v>
      </c>
      <c r="AB46">
        <v>0</v>
      </c>
      <c r="AH46">
        <v>0</v>
      </c>
    </row>
    <row r="47" spans="10:34" ht="30" hidden="1" customHeight="1">
      <c r="J47">
        <v>0</v>
      </c>
      <c r="P47">
        <v>0</v>
      </c>
      <c r="V47">
        <v>0</v>
      </c>
      <c r="AB47">
        <v>0</v>
      </c>
      <c r="AH47">
        <v>0</v>
      </c>
    </row>
    <row r="48" spans="10:34" ht="30" hidden="1" customHeight="1">
      <c r="J48">
        <v>0</v>
      </c>
      <c r="P48">
        <v>0</v>
      </c>
      <c r="V48">
        <v>0</v>
      </c>
      <c r="AB48">
        <v>0</v>
      </c>
      <c r="AH48">
        <v>0</v>
      </c>
    </row>
  </sheetData>
  <mergeCells count="12">
    <mergeCell ref="A8:H8"/>
    <mergeCell ref="I8:N8"/>
    <mergeCell ref="J24:M36"/>
    <mergeCell ref="O8:T8"/>
    <mergeCell ref="P24:S36"/>
    <mergeCell ref="U8:Z8"/>
    <mergeCell ref="V24:Y36"/>
    <mergeCell ref="AA8:AF8"/>
    <mergeCell ref="AB24:AE36"/>
    <mergeCell ref="AG8:AL8"/>
    <mergeCell ref="AH24:AK36"/>
    <mergeCell ref="D1:H1"/>
  </mergeCells>
  <conditionalFormatting sqref="AA10">
    <cfRule type="cellIs" dxfId="0" priority="98" operator="lessThan">
      <formula>F10</formula>
    </cfRule>
  </conditionalFormatting>
  <conditionalFormatting sqref="AA11">
    <cfRule type="cellIs" dxfId="0" priority="102" operator="lessThan">
      <formula>F11</formula>
    </cfRule>
  </conditionalFormatting>
  <conditionalFormatting sqref="AA12">
    <cfRule type="cellIs" dxfId="0" priority="110" operator="lessThan">
      <formula>F12</formula>
    </cfRule>
  </conditionalFormatting>
  <conditionalFormatting sqref="AA19">
    <cfRule type="cellIs" dxfId="0" priority="114" operator="lessThan">
      <formula>F19</formula>
    </cfRule>
  </conditionalFormatting>
  <conditionalFormatting sqref="AA20">
    <cfRule type="cellIs" dxfId="0" priority="118" operator="lessThan">
      <formula>F20</formula>
    </cfRule>
  </conditionalFormatting>
  <conditionalFormatting sqref="AA21">
    <cfRule type="cellIs" dxfId="0" priority="122" operator="lessThan">
      <formula>F21</formula>
    </cfRule>
  </conditionalFormatting>
  <conditionalFormatting sqref="AB10">
    <cfRule type="expression" dxfId="2" priority="99">
      <formula>AND(NOT(ISBLANK(AB10)),OR(AA10="NonStk",AB10&gt;AA10))</formula>
    </cfRule>
  </conditionalFormatting>
  <conditionalFormatting sqref="AB11">
    <cfRule type="expression" dxfId="1" priority="103">
      <formula>AND(AB11&gt;0,MOD(AB11,AD11)&lt;&gt;0)</formula>
    </cfRule>
    <cfRule type="expression" dxfId="2" priority="104">
      <formula>AND(NOT(ISBLANK(AB11)),OR(AA11="NonStk",AB11&gt;AA11))</formula>
    </cfRule>
  </conditionalFormatting>
  <conditionalFormatting sqref="AB12">
    <cfRule type="expression" dxfId="2" priority="111">
      <formula>AND(NOT(ISBLANK(AB12)),OR(AA12="NonStk",AB12&gt;AA12))</formula>
    </cfRule>
  </conditionalFormatting>
  <conditionalFormatting sqref="AB19">
    <cfRule type="expression" dxfId="2" priority="115">
      <formula>AND(NOT(ISBLANK(AB19)),OR(AA19="NonStk",AB19&gt;AA19))</formula>
    </cfRule>
  </conditionalFormatting>
  <conditionalFormatting sqref="AB20">
    <cfRule type="expression" dxfId="2" priority="119">
      <formula>AND(NOT(ISBLANK(AB20)),OR(AA20="NonStk",AB20&gt;AA20))</formula>
    </cfRule>
  </conditionalFormatting>
  <conditionalFormatting sqref="AB21">
    <cfRule type="expression" dxfId="2" priority="123">
      <formula>AND(NOT(ISBLANK(AB21)),OR(AA21="NonStk",AB21&gt;AA21))</formula>
    </cfRule>
  </conditionalFormatting>
  <conditionalFormatting sqref="AC10">
    <cfRule type="cellIs" dxfId="3" priority="101" operator="lessThanOrEqual">
      <formula>G10</formula>
    </cfRule>
  </conditionalFormatting>
  <conditionalFormatting sqref="AC11">
    <cfRule type="cellIs" dxfId="3" priority="106" operator="lessThanOrEqual">
      <formula>G11</formula>
    </cfRule>
    <cfRule type="expression" dxfId="1" priority="107">
      <formula>AND(F11&lt;2500,AB11&lt;2500)</formula>
    </cfRule>
  </conditionalFormatting>
  <conditionalFormatting sqref="AC12">
    <cfRule type="cellIs" dxfId="3" priority="113" operator="lessThanOrEqual">
      <formula>G12</formula>
    </cfRule>
  </conditionalFormatting>
  <conditionalFormatting sqref="AC19">
    <cfRule type="cellIs" dxfId="3" priority="117" operator="lessThanOrEqual">
      <formula>G19</formula>
    </cfRule>
  </conditionalFormatting>
  <conditionalFormatting sqref="AC20">
    <cfRule type="cellIs" dxfId="3" priority="121" operator="lessThanOrEqual">
      <formula>G20</formula>
    </cfRule>
  </conditionalFormatting>
  <conditionalFormatting sqref="AC21">
    <cfRule type="cellIs" dxfId="3" priority="125" operator="lessThanOrEqual">
      <formula>G21</formula>
    </cfRule>
  </conditionalFormatting>
  <conditionalFormatting sqref="AD11">
    <cfRule type="expression" dxfId="1" priority="108">
      <formula>AND(F11&lt;2500,AB11&lt;2500)</formula>
    </cfRule>
  </conditionalFormatting>
  <conditionalFormatting sqref="AE10">
    <cfRule type="cellIs" dxfId="3" priority="100" operator="lessThanOrEqual">
      <formula>H10</formula>
    </cfRule>
  </conditionalFormatting>
  <conditionalFormatting sqref="AE11">
    <cfRule type="cellIs" dxfId="3" priority="105" operator="lessThanOrEqual">
      <formula>H11</formula>
    </cfRule>
    <cfRule type="expression" dxfId="1" priority="109">
      <formula>AND(F11&lt;2500,AB11&lt;2500)</formula>
    </cfRule>
  </conditionalFormatting>
  <conditionalFormatting sqref="AE12">
    <cfRule type="cellIs" dxfId="3" priority="112" operator="lessThanOrEqual">
      <formula>H12</formula>
    </cfRule>
  </conditionalFormatting>
  <conditionalFormatting sqref="AE19">
    <cfRule type="cellIs" dxfId="3" priority="116" operator="lessThanOrEqual">
      <formula>H19</formula>
    </cfRule>
  </conditionalFormatting>
  <conditionalFormatting sqref="AE20">
    <cfRule type="cellIs" dxfId="3" priority="120" operator="lessThanOrEqual">
      <formula>H20</formula>
    </cfRule>
  </conditionalFormatting>
  <conditionalFormatting sqref="AE21">
    <cfRule type="cellIs" dxfId="3" priority="124" operator="lessThanOrEqual">
      <formula>H21</formula>
    </cfRule>
  </conditionalFormatting>
  <conditionalFormatting sqref="AG10">
    <cfRule type="cellIs" dxfId="0" priority="126" operator="lessThan">
      <formula>F10</formula>
    </cfRule>
  </conditionalFormatting>
  <conditionalFormatting sqref="AG11">
    <cfRule type="cellIs" dxfId="0" priority="131" operator="lessThan">
      <formula>F11</formula>
    </cfRule>
  </conditionalFormatting>
  <conditionalFormatting sqref="AG12">
    <cfRule type="cellIs" dxfId="0" priority="136" operator="lessThan">
      <formula>F12</formula>
    </cfRule>
  </conditionalFormatting>
  <conditionalFormatting sqref="AG13">
    <cfRule type="cellIs" dxfId="0" priority="140" operator="lessThan">
      <formula>F13</formula>
    </cfRule>
  </conditionalFormatting>
  <conditionalFormatting sqref="AG15">
    <cfRule type="cellIs" dxfId="0" priority="145" operator="lessThan">
      <formula>F15</formula>
    </cfRule>
  </conditionalFormatting>
  <conditionalFormatting sqref="AG16">
    <cfRule type="cellIs" dxfId="0" priority="149" operator="lessThan">
      <formula>F16</formula>
    </cfRule>
  </conditionalFormatting>
  <conditionalFormatting sqref="AG17">
    <cfRule type="cellIs" dxfId="0" priority="157" operator="lessThan">
      <formula>F17</formula>
    </cfRule>
  </conditionalFormatting>
  <conditionalFormatting sqref="AG18">
    <cfRule type="cellIs" dxfId="0" priority="165" operator="lessThan">
      <formula>F18</formula>
    </cfRule>
  </conditionalFormatting>
  <conditionalFormatting sqref="AG19">
    <cfRule type="cellIs" dxfId="0" priority="173" operator="lessThan">
      <formula>F19</formula>
    </cfRule>
  </conditionalFormatting>
  <conditionalFormatting sqref="AG20">
    <cfRule type="cellIs" dxfId="0" priority="178" operator="lessThan">
      <formula>F20</formula>
    </cfRule>
  </conditionalFormatting>
  <conditionalFormatting sqref="AG21">
    <cfRule type="cellIs" dxfId="0" priority="183" operator="lessThan">
      <formula>F21</formula>
    </cfRule>
  </conditionalFormatting>
  <conditionalFormatting sqref="AH10">
    <cfRule type="expression" dxfId="1" priority="127">
      <formula>AND(AH10&gt;0,MOD(AH10,AJ10)&lt;&gt;0)</formula>
    </cfRule>
    <cfRule type="expression" dxfId="2" priority="128">
      <formula>AND(NOT(ISBLANK(AH10)),OR(AG10="NonStk",AH10&gt;AG10))</formula>
    </cfRule>
  </conditionalFormatting>
  <conditionalFormatting sqref="AH11">
    <cfRule type="expression" dxfId="1" priority="132">
      <formula>AND(AH11&gt;0,MOD(AH11,AJ11)&lt;&gt;0)</formula>
    </cfRule>
    <cfRule type="expression" dxfId="2" priority="133">
      <formula>AND(NOT(ISBLANK(AH11)),OR(AG11="NonStk",AH11&gt;AG11))</formula>
    </cfRule>
  </conditionalFormatting>
  <conditionalFormatting sqref="AH12">
    <cfRule type="expression" dxfId="2" priority="137">
      <formula>AND(NOT(ISBLANK(AH12)),OR(AG12="NonStk",AH12&gt;AG12))</formula>
    </cfRule>
  </conditionalFormatting>
  <conditionalFormatting sqref="AH13">
    <cfRule type="expression" dxfId="1" priority="141">
      <formula>AND(AH13&gt;0,MOD(AH13,AJ13)&lt;&gt;0)</formula>
    </cfRule>
    <cfRule type="expression" dxfId="2" priority="142">
      <formula>AND(NOT(ISBLANK(AH13)),OR(AG13="NonStk",AH13&gt;AG13))</formula>
    </cfRule>
  </conditionalFormatting>
  <conditionalFormatting sqref="AH15">
    <cfRule type="expression" dxfId="2" priority="146">
      <formula>AND(NOT(ISBLANK(AH15)),OR(AG15="NonStk",AH15&gt;AG15))</formula>
    </cfRule>
  </conditionalFormatting>
  <conditionalFormatting sqref="AH16">
    <cfRule type="expression" dxfId="1" priority="150">
      <formula>AND(AH16&gt;0,MOD(AH16,AJ16)&lt;&gt;0)</formula>
    </cfRule>
    <cfRule type="expression" dxfId="2" priority="151">
      <formula>AND(NOT(ISBLANK(AH16)),OR(AG16="NonStk",AH16&gt;AG16))</formula>
    </cfRule>
  </conditionalFormatting>
  <conditionalFormatting sqref="AH17">
    <cfRule type="expression" dxfId="1" priority="158">
      <formula>AND(AH17&gt;0,MOD(AH17,AJ17)&lt;&gt;0)</formula>
    </cfRule>
    <cfRule type="expression" dxfId="2" priority="159">
      <formula>AND(NOT(ISBLANK(AH17)),OR(AG17="NonStk",AH17&gt;AG17))</formula>
    </cfRule>
  </conditionalFormatting>
  <conditionalFormatting sqref="AH18">
    <cfRule type="expression" dxfId="1" priority="166">
      <formula>AND(AH18&gt;0,MOD(AH18,AJ18)&lt;&gt;0)</formula>
    </cfRule>
    <cfRule type="expression" dxfId="2" priority="167">
      <formula>AND(NOT(ISBLANK(AH18)),OR(AG18="NonStk",AH18&gt;AG18))</formula>
    </cfRule>
  </conditionalFormatting>
  <conditionalFormatting sqref="AH19">
    <cfRule type="expression" dxfId="1" priority="174">
      <formula>AND(AH19&gt;0,MOD(AH19,AJ19)&lt;&gt;0)</formula>
    </cfRule>
    <cfRule type="expression" dxfId="2" priority="175">
      <formula>AND(NOT(ISBLANK(AH19)),OR(AG19="NonStk",AH19&gt;AG19))</formula>
    </cfRule>
  </conditionalFormatting>
  <conditionalFormatting sqref="AH20">
    <cfRule type="expression" dxfId="1" priority="179">
      <formula>AND(AH20&gt;0,MOD(AH20,AJ20)&lt;&gt;0)</formula>
    </cfRule>
    <cfRule type="expression" dxfId="2" priority="180">
      <formula>AND(NOT(ISBLANK(AH20)),OR(AG20="NonStk",AH20&gt;AG20))</formula>
    </cfRule>
  </conditionalFormatting>
  <conditionalFormatting sqref="AH21">
    <cfRule type="expression" dxfId="2" priority="184">
      <formula>AND(NOT(ISBLANK(AH21)),OR(AG21="NonStk",AH21&gt;AG21))</formula>
    </cfRule>
  </conditionalFormatting>
  <conditionalFormatting sqref="AI10">
    <cfRule type="cellIs" dxfId="3" priority="130" operator="lessThanOrEqual">
      <formula>G10</formula>
    </cfRule>
  </conditionalFormatting>
  <conditionalFormatting sqref="AI11">
    <cfRule type="cellIs" dxfId="3" priority="135" operator="lessThanOrEqual">
      <formula>G11</formula>
    </cfRule>
  </conditionalFormatting>
  <conditionalFormatting sqref="AI12">
    <cfRule type="cellIs" dxfId="3" priority="139" operator="lessThanOrEqual">
      <formula>G12</formula>
    </cfRule>
  </conditionalFormatting>
  <conditionalFormatting sqref="AI13">
    <cfRule type="cellIs" dxfId="3" priority="144" operator="lessThanOrEqual">
      <formula>G13</formula>
    </cfRule>
  </conditionalFormatting>
  <conditionalFormatting sqref="AI15">
    <cfRule type="cellIs" dxfId="3" priority="148" operator="lessThanOrEqual">
      <formula>G15</formula>
    </cfRule>
  </conditionalFormatting>
  <conditionalFormatting sqref="AI16">
    <cfRule type="cellIs" dxfId="3" priority="153" operator="lessThanOrEqual">
      <formula>G16</formula>
    </cfRule>
    <cfRule type="expression" dxfId="1" priority="154">
      <formula>AND(F16&lt;100,AH16&lt;100)</formula>
    </cfRule>
  </conditionalFormatting>
  <conditionalFormatting sqref="AI17">
    <cfRule type="cellIs" dxfId="3" priority="161" operator="lessThanOrEqual">
      <formula>G17</formula>
    </cfRule>
    <cfRule type="expression" dxfId="1" priority="162">
      <formula>AND(F17&lt;100,AH17&lt;100)</formula>
    </cfRule>
  </conditionalFormatting>
  <conditionalFormatting sqref="AI18">
    <cfRule type="cellIs" dxfId="3" priority="169" operator="lessThanOrEqual">
      <formula>G18</formula>
    </cfRule>
    <cfRule type="expression" dxfId="1" priority="170">
      <formula>AND(F18&lt;100,AH18&lt;100)</formula>
    </cfRule>
  </conditionalFormatting>
  <conditionalFormatting sqref="AI19">
    <cfRule type="cellIs" dxfId="3" priority="177" operator="lessThanOrEqual">
      <formula>G19</formula>
    </cfRule>
  </conditionalFormatting>
  <conditionalFormatting sqref="AI20">
    <cfRule type="cellIs" dxfId="3" priority="182" operator="lessThanOrEqual">
      <formula>G20</formula>
    </cfRule>
  </conditionalFormatting>
  <conditionalFormatting sqref="AI21">
    <cfRule type="cellIs" dxfId="3" priority="186" operator="lessThanOrEqual">
      <formula>G21</formula>
    </cfRule>
  </conditionalFormatting>
  <conditionalFormatting sqref="AJ16">
    <cfRule type="expression" dxfId="1" priority="155">
      <formula>AND(F16&lt;100,AH16&lt;100)</formula>
    </cfRule>
  </conditionalFormatting>
  <conditionalFormatting sqref="AJ17">
    <cfRule type="expression" dxfId="1" priority="163">
      <formula>AND(F17&lt;100,AH17&lt;100)</formula>
    </cfRule>
  </conditionalFormatting>
  <conditionalFormatting sqref="AJ18">
    <cfRule type="expression" dxfId="1" priority="171">
      <formula>AND(F18&lt;100,AH18&lt;100)</formula>
    </cfRule>
  </conditionalFormatting>
  <conditionalFormatting sqref="AK10">
    <cfRule type="cellIs" dxfId="3" priority="129" operator="lessThanOrEqual">
      <formula>H10</formula>
    </cfRule>
  </conditionalFormatting>
  <conditionalFormatting sqref="AK11">
    <cfRule type="cellIs" dxfId="3" priority="134" operator="lessThanOrEqual">
      <formula>H11</formula>
    </cfRule>
  </conditionalFormatting>
  <conditionalFormatting sqref="AK12">
    <cfRule type="cellIs" dxfId="3" priority="138" operator="lessThanOrEqual">
      <formula>H12</formula>
    </cfRule>
  </conditionalFormatting>
  <conditionalFormatting sqref="AK13">
    <cfRule type="cellIs" dxfId="3" priority="143" operator="lessThanOrEqual">
      <formula>H13</formula>
    </cfRule>
  </conditionalFormatting>
  <conditionalFormatting sqref="AK15">
    <cfRule type="cellIs" dxfId="3" priority="147" operator="lessThanOrEqual">
      <formula>H15</formula>
    </cfRule>
  </conditionalFormatting>
  <conditionalFormatting sqref="AK16">
    <cfRule type="cellIs" dxfId="3" priority="152" operator="lessThanOrEqual">
      <formula>H16</formula>
    </cfRule>
    <cfRule type="expression" dxfId="1" priority="156">
      <formula>AND(F16&lt;100,AH16&lt;100)</formula>
    </cfRule>
  </conditionalFormatting>
  <conditionalFormatting sqref="AK17">
    <cfRule type="cellIs" dxfId="3" priority="160" operator="lessThanOrEqual">
      <formula>H17</formula>
    </cfRule>
    <cfRule type="expression" dxfId="1" priority="164">
      <formula>AND(F17&lt;100,AH17&lt;100)</formula>
    </cfRule>
  </conditionalFormatting>
  <conditionalFormatting sqref="AK18">
    <cfRule type="cellIs" dxfId="3" priority="168" operator="lessThanOrEqual">
      <formula>H18</formula>
    </cfRule>
    <cfRule type="expression" dxfId="1" priority="172">
      <formula>AND(F18&lt;100,AH18&lt;100)</formula>
    </cfRule>
  </conditionalFormatting>
  <conditionalFormatting sqref="AK19">
    <cfRule type="cellIs" dxfId="3" priority="176" operator="lessThanOrEqual">
      <formula>H19</formula>
    </cfRule>
  </conditionalFormatting>
  <conditionalFormatting sqref="AK20">
    <cfRule type="cellIs" dxfId="3" priority="181" operator="lessThanOrEqual">
      <formula>H20</formula>
    </cfRule>
  </conditionalFormatting>
  <conditionalFormatting sqref="AK21">
    <cfRule type="cellIs" dxfId="3" priority="185" operator="lessThanOrEqual">
      <formula>H21</formula>
    </cfRule>
  </conditionalFormatting>
  <conditionalFormatting sqref="F10">
    <cfRule type="expression" dxfId="4" priority="187">
      <formula>AND(ISBLANK(E10),ISBLANK(AE10),ISBLANK(S10),ISBLANK(AK10),ISBLANK(M10),ISBLANK(Y10))</formula>
    </cfRule>
    <cfRule type="expression" dxfId="5" priority="188">
      <formula>IF(SUM(AA10,O10,AG10,I10,U10)=0,1,0)</formula>
    </cfRule>
    <cfRule type="cellIs" dxfId="0" priority="189" operator="greaterThan">
      <formula>SUM(AA10,O10,AG10,I10,U10)</formula>
    </cfRule>
    <cfRule type="cellIs" dxfId="6" priority="190" operator="greaterThan">
      <formula>SUM(IF(ISNUMBER(AC10),AB10,0),IF(ISNUMBER(Q10),P10,0),IF(ISNUMBER(AI10),AH10,0),IF(ISNUMBER(K10),J10,0),IF(ISNUMBER(W10),V10,0))</formula>
    </cfRule>
  </conditionalFormatting>
  <conditionalFormatting sqref="F11">
    <cfRule type="expression" dxfId="4" priority="191">
      <formula>AND(ISBLANK(E11),ISBLANK(AE11),ISBLANK(S11),ISBLANK(AK11),ISBLANK(M11),ISBLANK(Y11))</formula>
    </cfRule>
    <cfRule type="expression" dxfId="5" priority="192">
      <formula>IF(SUM(AA11,O11,AG11,I11,U11)=0,1,0)</formula>
    </cfRule>
    <cfRule type="cellIs" dxfId="0" priority="193" operator="greaterThan">
      <formula>SUM(AA11,O11,AG11,I11,U11)</formula>
    </cfRule>
    <cfRule type="cellIs" dxfId="6" priority="194" operator="greaterThan">
      <formula>SUM(IF(ISNUMBER(AC11),AB11,0),IF(ISNUMBER(Q11),P11,0),IF(ISNUMBER(AI11),AH11,0),IF(ISNUMBER(K11),J11,0),IF(ISNUMBER(W11),V11,0))</formula>
    </cfRule>
  </conditionalFormatting>
  <conditionalFormatting sqref="F12">
    <cfRule type="expression" dxfId="4" priority="195">
      <formula>AND(ISBLANK(E12),ISBLANK(AE12),ISBLANK(S12),ISBLANK(AK12),ISBLANK(M12),ISBLANK(Y12))</formula>
    </cfRule>
    <cfRule type="expression" dxfId="5" priority="196">
      <formula>IF(SUM(AA12,O12,AG12,I12,U12)=0,1,0)</formula>
    </cfRule>
    <cfRule type="cellIs" dxfId="0" priority="197" operator="greaterThan">
      <formula>SUM(AA12,O12,AG12,I12,U12)</formula>
    </cfRule>
    <cfRule type="cellIs" dxfId="6" priority="198" operator="greaterThan">
      <formula>SUM(IF(ISNUMBER(AC12),AB12,0),IF(ISNUMBER(Q12),P12,0),IF(ISNUMBER(AI12),AH12,0),IF(ISNUMBER(K12),J12,0),IF(ISNUMBER(W12),V12,0))</formula>
    </cfRule>
  </conditionalFormatting>
  <conditionalFormatting sqref="F13">
    <cfRule type="expression" dxfId="4" priority="199">
      <formula>AND(ISBLANK(E13),ISBLANK(AE13),ISBLANK(S13),ISBLANK(AK13),ISBLANK(M13),ISBLANK(Y13))</formula>
    </cfRule>
    <cfRule type="expression" dxfId="5" priority="200">
      <formula>IF(SUM(AA13,O13,AG13,I13,U13)=0,1,0)</formula>
    </cfRule>
    <cfRule type="cellIs" dxfId="0" priority="201" operator="greaterThan">
      <formula>SUM(AA13,O13,AG13,I13,U13)</formula>
    </cfRule>
    <cfRule type="cellIs" dxfId="6" priority="202" operator="greaterThan">
      <formula>SUM(IF(ISNUMBER(AC13),AB13,0),IF(ISNUMBER(Q13),P13,0),IF(ISNUMBER(AI13),AH13,0),IF(ISNUMBER(K13),J13,0),IF(ISNUMBER(W13),V13,0))</formula>
    </cfRule>
  </conditionalFormatting>
  <conditionalFormatting sqref="F14">
    <cfRule type="expression" dxfId="4" priority="203">
      <formula>AND(ISBLANK(E14),ISBLANK(AE14),ISBLANK(S14),ISBLANK(AK14),ISBLANK(M14),ISBLANK(Y14))</formula>
    </cfRule>
    <cfRule type="expression" dxfId="5" priority="204">
      <formula>IF(SUM(AA14,O14,AG14,I14,U14)=0,1,0)</formula>
    </cfRule>
    <cfRule type="cellIs" dxfId="0" priority="205" operator="greaterThan">
      <formula>SUM(AA14,O14,AG14,I14,U14)</formula>
    </cfRule>
    <cfRule type="cellIs" dxfId="6" priority="206" operator="greaterThan">
      <formula>SUM(IF(ISNUMBER(AC14),AB14,0),IF(ISNUMBER(Q14),P14,0),IF(ISNUMBER(AI14),AH14,0),IF(ISNUMBER(K14),J14,0),IF(ISNUMBER(W14),V14,0))</formula>
    </cfRule>
  </conditionalFormatting>
  <conditionalFormatting sqref="F15">
    <cfRule type="expression" dxfId="4" priority="207">
      <formula>AND(ISBLANK(E15),ISBLANK(AE15),ISBLANK(S15),ISBLANK(AK15),ISBLANK(M15),ISBLANK(Y15))</formula>
    </cfRule>
    <cfRule type="expression" dxfId="5" priority="208">
      <formula>IF(SUM(AA15,O15,AG15,I15,U15)=0,1,0)</formula>
    </cfRule>
    <cfRule type="cellIs" dxfId="0" priority="209" operator="greaterThan">
      <formula>SUM(AA15,O15,AG15,I15,U15)</formula>
    </cfRule>
    <cfRule type="cellIs" dxfId="6" priority="210" operator="greaterThan">
      <formula>SUM(IF(ISNUMBER(AC15),AB15,0),IF(ISNUMBER(Q15),P15,0),IF(ISNUMBER(AI15),AH15,0),IF(ISNUMBER(K15),J15,0),IF(ISNUMBER(W15),V15,0))</formula>
    </cfRule>
  </conditionalFormatting>
  <conditionalFormatting sqref="F16">
    <cfRule type="expression" dxfId="4" priority="211">
      <formula>AND(ISBLANK(E16),ISBLANK(AE16),ISBLANK(S16),ISBLANK(AK16),ISBLANK(M16),ISBLANK(Y16))</formula>
    </cfRule>
    <cfRule type="expression" dxfId="5" priority="212">
      <formula>IF(SUM(AA16,O16,AG16,I16,U16)=0,1,0)</formula>
    </cfRule>
    <cfRule type="cellIs" dxfId="0" priority="213" operator="greaterThan">
      <formula>SUM(AA16,O16,AG16,I16,U16)</formula>
    </cfRule>
    <cfRule type="cellIs" dxfId="6" priority="214" operator="greaterThan">
      <formula>SUM(IF(ISNUMBER(AC16),AB16,0),IF(ISNUMBER(Q16),P16,0),IF(ISNUMBER(AI16),AH16,0),IF(ISNUMBER(K16),J16,0),IF(ISNUMBER(W16),V16,0))</formula>
    </cfRule>
  </conditionalFormatting>
  <conditionalFormatting sqref="F17">
    <cfRule type="expression" dxfId="4" priority="215">
      <formula>AND(ISBLANK(E17),ISBLANK(AE17),ISBLANK(S17),ISBLANK(AK17),ISBLANK(M17),ISBLANK(Y17))</formula>
    </cfRule>
    <cfRule type="expression" dxfId="5" priority="216">
      <formula>IF(SUM(AA17,O17,AG17,I17,U17)=0,1,0)</formula>
    </cfRule>
    <cfRule type="cellIs" dxfId="0" priority="217" operator="greaterThan">
      <formula>SUM(AA17,O17,AG17,I17,U17)</formula>
    </cfRule>
    <cfRule type="cellIs" dxfId="6" priority="218" operator="greaterThan">
      <formula>SUM(IF(ISNUMBER(AC17),AB17,0),IF(ISNUMBER(Q17),P17,0),IF(ISNUMBER(AI17),AH17,0),IF(ISNUMBER(K17),J17,0),IF(ISNUMBER(W17),V17,0))</formula>
    </cfRule>
  </conditionalFormatting>
  <conditionalFormatting sqref="F18">
    <cfRule type="expression" dxfId="4" priority="219">
      <formula>AND(ISBLANK(E18),ISBLANK(AE18),ISBLANK(S18),ISBLANK(AK18),ISBLANK(M18),ISBLANK(Y18))</formula>
    </cfRule>
    <cfRule type="expression" dxfId="5" priority="220">
      <formula>IF(SUM(AA18,O18,AG18,I18,U18)=0,1,0)</formula>
    </cfRule>
    <cfRule type="cellIs" dxfId="0" priority="221" operator="greaterThan">
      <formula>SUM(AA18,O18,AG18,I18,U18)</formula>
    </cfRule>
    <cfRule type="cellIs" dxfId="6" priority="222" operator="greaterThan">
      <formula>SUM(IF(ISNUMBER(AC18),AB18,0),IF(ISNUMBER(Q18),P18,0),IF(ISNUMBER(AI18),AH18,0),IF(ISNUMBER(K18),J18,0),IF(ISNUMBER(W18),V18,0))</formula>
    </cfRule>
  </conditionalFormatting>
  <conditionalFormatting sqref="F19">
    <cfRule type="expression" dxfId="4" priority="223">
      <formula>AND(ISBLANK(E19),ISBLANK(AE19),ISBLANK(S19),ISBLANK(AK19),ISBLANK(M19),ISBLANK(Y19))</formula>
    </cfRule>
    <cfRule type="expression" dxfId="5" priority="224">
      <formula>IF(SUM(AA19,O19,AG19,I19,U19)=0,1,0)</formula>
    </cfRule>
    <cfRule type="cellIs" dxfId="0" priority="225" operator="greaterThan">
      <formula>SUM(AA19,O19,AG19,I19,U19)</formula>
    </cfRule>
    <cfRule type="cellIs" dxfId="6" priority="226" operator="greaterThan">
      <formula>SUM(IF(ISNUMBER(AC19),AB19,0),IF(ISNUMBER(Q19),P19,0),IF(ISNUMBER(AI19),AH19,0),IF(ISNUMBER(K19),J19,0),IF(ISNUMBER(W19),V19,0))</formula>
    </cfRule>
  </conditionalFormatting>
  <conditionalFormatting sqref="F20">
    <cfRule type="expression" dxfId="4" priority="227">
      <formula>AND(ISBLANK(E20),ISBLANK(AE20),ISBLANK(S20),ISBLANK(AK20),ISBLANK(M20),ISBLANK(Y20))</formula>
    </cfRule>
    <cfRule type="expression" dxfId="5" priority="228">
      <formula>IF(SUM(AA20,O20,AG20,I20,U20)=0,1,0)</formula>
    </cfRule>
    <cfRule type="cellIs" dxfId="0" priority="229" operator="greaterThan">
      <formula>SUM(AA20,O20,AG20,I20,U20)</formula>
    </cfRule>
    <cfRule type="cellIs" dxfId="6" priority="230" operator="greaterThan">
      <formula>SUM(IF(ISNUMBER(AC20),AB20,0),IF(ISNUMBER(Q20),P20,0),IF(ISNUMBER(AI20),AH20,0),IF(ISNUMBER(K20),J20,0),IF(ISNUMBER(W20),V20,0))</formula>
    </cfRule>
  </conditionalFormatting>
  <conditionalFormatting sqref="F21">
    <cfRule type="expression" dxfId="4" priority="231">
      <formula>AND(ISBLANK(E21),ISBLANK(AE21),ISBLANK(S21),ISBLANK(AK21),ISBLANK(M21),ISBLANK(Y21))</formula>
    </cfRule>
    <cfRule type="expression" dxfId="5" priority="232">
      <formula>IF(SUM(AA21,O21,AG21,I21,U21)=0,1,0)</formula>
    </cfRule>
    <cfRule type="cellIs" dxfId="0" priority="233" operator="greaterThan">
      <formula>SUM(AA21,O21,AG21,I21,U21)</formula>
    </cfRule>
    <cfRule type="cellIs" dxfId="6" priority="234" operator="greaterThan">
      <formula>SUM(IF(ISNUMBER(AC21),AB21,0),IF(ISNUMBER(Q21),P21,0),IF(ISNUMBER(AI21),AH21,0),IF(ISNUMBER(K21),J21,0),IF(ISNUMBER(W21),V21,0))</formula>
    </cfRule>
  </conditionalFormatting>
  <conditionalFormatting sqref="I10">
    <cfRule type="cellIs" dxfId="0" priority="1" operator="lessThan">
      <formula>F10</formula>
    </cfRule>
  </conditionalFormatting>
  <conditionalFormatting sqref="I12">
    <cfRule type="cellIs" dxfId="0" priority="9" operator="lessThan">
      <formula>F12</formula>
    </cfRule>
  </conditionalFormatting>
  <conditionalFormatting sqref="I14">
    <cfRule type="cellIs" dxfId="0" priority="13" operator="lessThan">
      <formula>F14</formula>
    </cfRule>
  </conditionalFormatting>
  <conditionalFormatting sqref="I15">
    <cfRule type="cellIs" dxfId="0" priority="17" operator="lessThan">
      <formula>F15</formula>
    </cfRule>
  </conditionalFormatting>
  <conditionalFormatting sqref="I16">
    <cfRule type="cellIs" dxfId="0" priority="21" operator="lessThan">
      <formula>F16</formula>
    </cfRule>
  </conditionalFormatting>
  <conditionalFormatting sqref="I17">
    <cfRule type="cellIs" dxfId="0" priority="25" operator="lessThan">
      <formula>F17</formula>
    </cfRule>
  </conditionalFormatting>
  <conditionalFormatting sqref="I18">
    <cfRule type="cellIs" dxfId="0" priority="29" operator="lessThan">
      <formula>F18</formula>
    </cfRule>
  </conditionalFormatting>
  <conditionalFormatting sqref="I19">
    <cfRule type="cellIs" dxfId="0" priority="33" operator="lessThan">
      <formula>F19</formula>
    </cfRule>
  </conditionalFormatting>
  <conditionalFormatting sqref="I20">
    <cfRule type="cellIs" dxfId="0" priority="37" operator="lessThan">
      <formula>F20</formula>
    </cfRule>
  </conditionalFormatting>
  <conditionalFormatting sqref="I21">
    <cfRule type="cellIs" dxfId="0" priority="41" operator="lessThan">
      <formula>F21</formula>
    </cfRule>
  </conditionalFormatting>
  <conditionalFormatting sqref="J10">
    <cfRule type="expression" dxfId="1" priority="2">
      <formula>AND(J10&gt;0,MOD(J10,L10)&lt;&gt;0)</formula>
    </cfRule>
    <cfRule type="expression" dxfId="2" priority="3">
      <formula>AND(NOT(ISBLANK(J10)),OR(I10="NonStk",J10&gt;I10))</formula>
    </cfRule>
  </conditionalFormatting>
  <conditionalFormatting sqref="J12">
    <cfRule type="expression" dxfId="2" priority="10">
      <formula>AND(NOT(ISBLANK(J12)),OR(I12="NonStk",J12&gt;I12))</formula>
    </cfRule>
  </conditionalFormatting>
  <conditionalFormatting sqref="J14">
    <cfRule type="expression" dxfId="2" priority="14">
      <formula>AND(NOT(ISBLANK(J14)),OR(I14="NonStk",J14&gt;I14))</formula>
    </cfRule>
  </conditionalFormatting>
  <conditionalFormatting sqref="J15">
    <cfRule type="expression" dxfId="2" priority="18">
      <formula>AND(NOT(ISBLANK(J15)),OR(I15="NonStk",J15&gt;I15))</formula>
    </cfRule>
  </conditionalFormatting>
  <conditionalFormatting sqref="J16">
    <cfRule type="expression" dxfId="2" priority="22">
      <formula>AND(NOT(ISBLANK(J16)),OR(I16="NonStk",J16&gt;I16))</formula>
    </cfRule>
  </conditionalFormatting>
  <conditionalFormatting sqref="J17">
    <cfRule type="expression" dxfId="2" priority="26">
      <formula>AND(NOT(ISBLANK(J17)),OR(I17="NonStk",J17&gt;I17))</formula>
    </cfRule>
  </conditionalFormatting>
  <conditionalFormatting sqref="J18">
    <cfRule type="expression" dxfId="2" priority="30">
      <formula>AND(NOT(ISBLANK(J18)),OR(I18="NonStk",J18&gt;I18))</formula>
    </cfRule>
  </conditionalFormatting>
  <conditionalFormatting sqref="J19">
    <cfRule type="expression" dxfId="2" priority="34">
      <formula>AND(NOT(ISBLANK(J19)),OR(I19="NonStk",J19&gt;I19))</formula>
    </cfRule>
  </conditionalFormatting>
  <conditionalFormatting sqref="J20">
    <cfRule type="expression" dxfId="2" priority="38">
      <formula>AND(NOT(ISBLANK(J20)),OR(I20="NonStk",J20&gt;I20))</formula>
    </cfRule>
  </conditionalFormatting>
  <conditionalFormatting sqref="J21">
    <cfRule type="expression" dxfId="2" priority="42">
      <formula>AND(NOT(ISBLANK(J21)),OR(I21="NonStk",J21&gt;I21))</formula>
    </cfRule>
  </conditionalFormatting>
  <conditionalFormatting sqref="K10">
    <cfRule type="cellIs" dxfId="3" priority="5" operator="lessThanOrEqual">
      <formula>G10</formula>
    </cfRule>
    <cfRule type="expression" dxfId="1" priority="6">
      <formula>AND(F10&lt;4000,J10&lt;4000)</formula>
    </cfRule>
  </conditionalFormatting>
  <conditionalFormatting sqref="K12">
    <cfRule type="cellIs" dxfId="3" priority="12" operator="lessThanOrEqual">
      <formula>G12</formula>
    </cfRule>
  </conditionalFormatting>
  <conditionalFormatting sqref="K14">
    <cfRule type="cellIs" dxfId="3" priority="16" operator="lessThanOrEqual">
      <formula>G14</formula>
    </cfRule>
  </conditionalFormatting>
  <conditionalFormatting sqref="K15">
    <cfRule type="cellIs" dxfId="3" priority="20" operator="lessThanOrEqual">
      <formula>G15</formula>
    </cfRule>
  </conditionalFormatting>
  <conditionalFormatting sqref="K16">
    <cfRule type="cellIs" dxfId="3" priority="24" operator="lessThanOrEqual">
      <formula>G16</formula>
    </cfRule>
  </conditionalFormatting>
  <conditionalFormatting sqref="K17">
    <cfRule type="cellIs" dxfId="3" priority="28" operator="lessThanOrEqual">
      <formula>G17</formula>
    </cfRule>
  </conditionalFormatting>
  <conditionalFormatting sqref="K18">
    <cfRule type="cellIs" dxfId="3" priority="32" operator="lessThanOrEqual">
      <formula>G18</formula>
    </cfRule>
  </conditionalFormatting>
  <conditionalFormatting sqref="K19">
    <cfRule type="cellIs" dxfId="3" priority="36" operator="lessThanOrEqual">
      <formula>G19</formula>
    </cfRule>
  </conditionalFormatting>
  <conditionalFormatting sqref="K20">
    <cfRule type="cellIs" dxfId="3" priority="40" operator="lessThanOrEqual">
      <formula>G20</formula>
    </cfRule>
  </conditionalFormatting>
  <conditionalFormatting sqref="K21">
    <cfRule type="cellIs" dxfId="3" priority="44" operator="lessThanOrEqual">
      <formula>G21</formula>
    </cfRule>
  </conditionalFormatting>
  <conditionalFormatting sqref="L10">
    <cfRule type="expression" dxfId="1" priority="7">
      <formula>AND(F10&lt;4000,J10&lt;4000)</formula>
    </cfRule>
  </conditionalFormatting>
  <conditionalFormatting sqref="M10">
    <cfRule type="cellIs" dxfId="3" priority="4" operator="lessThanOrEqual">
      <formula>H10</formula>
    </cfRule>
    <cfRule type="expression" dxfId="1" priority="8">
      <formula>AND(F10&lt;4000,J10&lt;4000)</formula>
    </cfRule>
  </conditionalFormatting>
  <conditionalFormatting sqref="M12">
    <cfRule type="cellIs" dxfId="3" priority="11" operator="lessThanOrEqual">
      <formula>H12</formula>
    </cfRule>
  </conditionalFormatting>
  <conditionalFormatting sqref="M14">
    <cfRule type="cellIs" dxfId="3" priority="15" operator="lessThanOrEqual">
      <formula>H14</formula>
    </cfRule>
  </conditionalFormatting>
  <conditionalFormatting sqref="M15">
    <cfRule type="cellIs" dxfId="3" priority="19" operator="lessThanOrEqual">
      <formula>H15</formula>
    </cfRule>
  </conditionalFormatting>
  <conditionalFormatting sqref="M16">
    <cfRule type="cellIs" dxfId="3" priority="23" operator="lessThanOrEqual">
      <formula>H16</formula>
    </cfRule>
  </conditionalFormatting>
  <conditionalFormatting sqref="M17">
    <cfRule type="cellIs" dxfId="3" priority="27" operator="lessThanOrEqual">
      <formula>H17</formula>
    </cfRule>
  </conditionalFormatting>
  <conditionalFormatting sqref="M18">
    <cfRule type="cellIs" dxfId="3" priority="31" operator="lessThanOrEqual">
      <formula>H18</formula>
    </cfRule>
  </conditionalFormatting>
  <conditionalFormatting sqref="M19">
    <cfRule type="cellIs" dxfId="3" priority="35" operator="lessThanOrEqual">
      <formula>H19</formula>
    </cfRule>
  </conditionalFormatting>
  <conditionalFormatting sqref="M20">
    <cfRule type="cellIs" dxfId="3" priority="39" operator="lessThanOrEqual">
      <formula>H20</formula>
    </cfRule>
  </conditionalFormatting>
  <conditionalFormatting sqref="M21">
    <cfRule type="cellIs" dxfId="3" priority="43" operator="lessThanOrEqual">
      <formula>H21</formula>
    </cfRule>
  </conditionalFormatting>
  <conditionalFormatting sqref="O10">
    <cfRule type="cellIs" dxfId="0" priority="45" operator="lessThan">
      <formula>F10</formula>
    </cfRule>
  </conditionalFormatting>
  <conditionalFormatting sqref="O11">
    <cfRule type="cellIs" dxfId="0" priority="49" operator="lessThan">
      <formula>F11</formula>
    </cfRule>
  </conditionalFormatting>
  <conditionalFormatting sqref="O15">
    <cfRule type="cellIs" dxfId="0" priority="53" operator="lessThan">
      <formula>F15</formula>
    </cfRule>
  </conditionalFormatting>
  <conditionalFormatting sqref="O16">
    <cfRule type="cellIs" dxfId="0" priority="57" operator="lessThan">
      <formula>F16</formula>
    </cfRule>
  </conditionalFormatting>
  <conditionalFormatting sqref="O17">
    <cfRule type="cellIs" dxfId="0" priority="61" operator="lessThan">
      <formula>F17</formula>
    </cfRule>
  </conditionalFormatting>
  <conditionalFormatting sqref="O18">
    <cfRule type="cellIs" dxfId="0" priority="65" operator="lessThan">
      <formula>F18</formula>
    </cfRule>
  </conditionalFormatting>
  <conditionalFormatting sqref="O19">
    <cfRule type="cellIs" dxfId="0" priority="69" operator="lessThan">
      <formula>F19</formula>
    </cfRule>
  </conditionalFormatting>
  <conditionalFormatting sqref="O20">
    <cfRule type="cellIs" dxfId="0" priority="73" operator="lessThan">
      <formula>F20</formula>
    </cfRule>
  </conditionalFormatting>
  <conditionalFormatting sqref="O21">
    <cfRule type="cellIs" dxfId="0" priority="77" operator="lessThan">
      <formula>F21</formula>
    </cfRule>
  </conditionalFormatting>
  <conditionalFormatting sqref="P10">
    <cfRule type="expression" dxfId="2" priority="46">
      <formula>AND(NOT(ISBLANK(P10)),OR(O10="NonStk",P10&gt;O10))</formula>
    </cfRule>
  </conditionalFormatting>
  <conditionalFormatting sqref="P11">
    <cfRule type="expression" dxfId="2" priority="50">
      <formula>AND(NOT(ISBLANK(P11)),OR(O11="NonStk",P11&gt;O11))</formula>
    </cfRule>
  </conditionalFormatting>
  <conditionalFormatting sqref="P15">
    <cfRule type="expression" dxfId="2" priority="54">
      <formula>AND(NOT(ISBLANK(P15)),OR(O15="NonStk",P15&gt;O15))</formula>
    </cfRule>
  </conditionalFormatting>
  <conditionalFormatting sqref="P16">
    <cfRule type="expression" dxfId="2" priority="58">
      <formula>AND(NOT(ISBLANK(P16)),OR(O16="NonStk",P16&gt;O16))</formula>
    </cfRule>
  </conditionalFormatting>
  <conditionalFormatting sqref="P17">
    <cfRule type="expression" dxfId="2" priority="62">
      <formula>AND(NOT(ISBLANK(P17)),OR(O17="NonStk",P17&gt;O17))</formula>
    </cfRule>
  </conditionalFormatting>
  <conditionalFormatting sqref="P18">
    <cfRule type="expression" dxfId="2" priority="66">
      <formula>AND(NOT(ISBLANK(P18)),OR(O18="NonStk",P18&gt;O18))</formula>
    </cfRule>
  </conditionalFormatting>
  <conditionalFormatting sqref="P19">
    <cfRule type="expression" dxfId="2" priority="70">
      <formula>AND(NOT(ISBLANK(P19)),OR(O19="NonStk",P19&gt;O19))</formula>
    </cfRule>
  </conditionalFormatting>
  <conditionalFormatting sqref="P20">
    <cfRule type="expression" dxfId="2" priority="74">
      <formula>AND(NOT(ISBLANK(P20)),OR(O20="NonStk",P20&gt;O20))</formula>
    </cfRule>
  </conditionalFormatting>
  <conditionalFormatting sqref="P21">
    <cfRule type="expression" dxfId="2" priority="78">
      <formula>AND(NOT(ISBLANK(P21)),OR(O21="NonStk",P21&gt;O21))</formula>
    </cfRule>
  </conditionalFormatting>
  <conditionalFormatting sqref="Q10">
    <cfRule type="cellIs" dxfId="3" priority="48" operator="lessThanOrEqual">
      <formula>G10</formula>
    </cfRule>
  </conditionalFormatting>
  <conditionalFormatting sqref="Q11">
    <cfRule type="cellIs" dxfId="3" priority="52" operator="lessThanOrEqual">
      <formula>G11</formula>
    </cfRule>
  </conditionalFormatting>
  <conditionalFormatting sqref="Q15">
    <cfRule type="cellIs" dxfId="3" priority="56" operator="lessThanOrEqual">
      <formula>G15</formula>
    </cfRule>
  </conditionalFormatting>
  <conditionalFormatting sqref="Q16">
    <cfRule type="cellIs" dxfId="3" priority="60" operator="lessThanOrEqual">
      <formula>G16</formula>
    </cfRule>
  </conditionalFormatting>
  <conditionalFormatting sqref="Q17">
    <cfRule type="cellIs" dxfId="3" priority="64" operator="lessThanOrEqual">
      <formula>G17</formula>
    </cfRule>
  </conditionalFormatting>
  <conditionalFormatting sqref="Q18">
    <cfRule type="cellIs" dxfId="3" priority="68" operator="lessThanOrEqual">
      <formula>G18</formula>
    </cfRule>
  </conditionalFormatting>
  <conditionalFormatting sqref="Q19">
    <cfRule type="cellIs" dxfId="3" priority="72" operator="lessThanOrEqual">
      <formula>G19</formula>
    </cfRule>
  </conditionalFormatting>
  <conditionalFormatting sqref="Q20">
    <cfRule type="cellIs" dxfId="3" priority="76" operator="lessThanOrEqual">
      <formula>G20</formula>
    </cfRule>
  </conditionalFormatting>
  <conditionalFormatting sqref="Q21">
    <cfRule type="cellIs" dxfId="3" priority="80" operator="lessThanOrEqual">
      <formula>G21</formula>
    </cfRule>
  </conditionalFormatting>
  <conditionalFormatting sqref="S10">
    <cfRule type="cellIs" dxfId="3" priority="47" operator="lessThanOrEqual">
      <formula>H10</formula>
    </cfRule>
  </conditionalFormatting>
  <conditionalFormatting sqref="S11">
    <cfRule type="cellIs" dxfId="3" priority="51" operator="lessThanOrEqual">
      <formula>H11</formula>
    </cfRule>
  </conditionalFormatting>
  <conditionalFormatting sqref="S15">
    <cfRule type="cellIs" dxfId="3" priority="55" operator="lessThanOrEqual">
      <formula>H15</formula>
    </cfRule>
  </conditionalFormatting>
  <conditionalFormatting sqref="S16">
    <cfRule type="cellIs" dxfId="3" priority="59" operator="lessThanOrEqual">
      <formula>H16</formula>
    </cfRule>
  </conditionalFormatting>
  <conditionalFormatting sqref="S17">
    <cfRule type="cellIs" dxfId="3" priority="63" operator="lessThanOrEqual">
      <formula>H17</formula>
    </cfRule>
  </conditionalFormatting>
  <conditionalFormatting sqref="S18">
    <cfRule type="cellIs" dxfId="3" priority="67" operator="lessThanOrEqual">
      <formula>H18</formula>
    </cfRule>
  </conditionalFormatting>
  <conditionalFormatting sqref="S19">
    <cfRule type="cellIs" dxfId="3" priority="71" operator="lessThanOrEqual">
      <formula>H19</formula>
    </cfRule>
  </conditionalFormatting>
  <conditionalFormatting sqref="S20">
    <cfRule type="cellIs" dxfId="3" priority="75" operator="lessThanOrEqual">
      <formula>H20</formula>
    </cfRule>
  </conditionalFormatting>
  <conditionalFormatting sqref="S21">
    <cfRule type="cellIs" dxfId="3" priority="79" operator="lessThanOrEqual">
      <formula>H21</formula>
    </cfRule>
  </conditionalFormatting>
  <conditionalFormatting sqref="U10">
    <cfRule type="cellIs" dxfId="0" priority="81" operator="lessThan">
      <formula>F10</formula>
    </cfRule>
  </conditionalFormatting>
  <conditionalFormatting sqref="U11">
    <cfRule type="cellIs" dxfId="0" priority="86" operator="lessThan">
      <formula>F11</formula>
    </cfRule>
  </conditionalFormatting>
  <conditionalFormatting sqref="U21">
    <cfRule type="cellIs" dxfId="0" priority="94" operator="lessThan">
      <formula>F21</formula>
    </cfRule>
  </conditionalFormatting>
  <conditionalFormatting sqref="V10">
    <cfRule type="expression" dxfId="1" priority="82">
      <formula>AND(V10&gt;0,MOD(V10,X10)&lt;&gt;0)</formula>
    </cfRule>
    <cfRule type="expression" dxfId="2" priority="83">
      <formula>AND(NOT(ISBLANK(V10)),OR(U10="NonStk",V10&gt;U10))</formula>
    </cfRule>
  </conditionalFormatting>
  <conditionalFormatting sqref="V11">
    <cfRule type="expression" dxfId="1" priority="87">
      <formula>AND(V11&gt;0,MOD(V11,X11)&lt;&gt;0)</formula>
    </cfRule>
    <cfRule type="expression" dxfId="2" priority="88">
      <formula>AND(NOT(ISBLANK(V11)),OR(U11="NonStk",V11&gt;U11))</formula>
    </cfRule>
  </conditionalFormatting>
  <conditionalFormatting sqref="V21">
    <cfRule type="expression" dxfId="2" priority="95">
      <formula>AND(NOT(ISBLANK(V21)),OR(U21="NonStk",V21&gt;U21))</formula>
    </cfRule>
  </conditionalFormatting>
  <conditionalFormatting sqref="W10">
    <cfRule type="cellIs" dxfId="3" priority="85" operator="lessThanOrEqual">
      <formula>G10</formula>
    </cfRule>
  </conditionalFormatting>
  <conditionalFormatting sqref="W11">
    <cfRule type="cellIs" dxfId="3" priority="90" operator="lessThanOrEqual">
      <formula>G11</formula>
    </cfRule>
    <cfRule type="expression" dxfId="1" priority="91">
      <formula>AND(F11&lt;100,V11&lt;100)</formula>
    </cfRule>
  </conditionalFormatting>
  <conditionalFormatting sqref="W21">
    <cfRule type="cellIs" dxfId="3" priority="97" operator="lessThanOrEqual">
      <formula>G21</formula>
    </cfRule>
  </conditionalFormatting>
  <conditionalFormatting sqref="X11">
    <cfRule type="expression" dxfId="1" priority="92">
      <formula>AND(F11&lt;100,V11&lt;100)</formula>
    </cfRule>
  </conditionalFormatting>
  <conditionalFormatting sqref="Y10">
    <cfRule type="cellIs" dxfId="3" priority="84" operator="lessThanOrEqual">
      <formula>H10</formula>
    </cfRule>
  </conditionalFormatting>
  <conditionalFormatting sqref="Y11">
    <cfRule type="cellIs" dxfId="3" priority="89" operator="lessThanOrEqual">
      <formula>H11</formula>
    </cfRule>
    <cfRule type="expression" dxfId="1" priority="93">
      <formula>AND(F11&lt;100,V11&lt;100)</formula>
    </cfRule>
  </conditionalFormatting>
  <conditionalFormatting sqref="Y21">
    <cfRule type="cellIs" dxfId="3" priority="96" operator="lessThanOrEqual">
      <formula>H21</formula>
    </cfRule>
  </conditionalFormatting>
  <hyperlinks>
    <hyperlink ref="N10" r:id="rId1"/>
    <hyperlink ref="Z10" r:id="rId2"/>
    <hyperlink ref="AL10" r:id="rId3"/>
    <hyperlink ref="N11" r:id="rId4"/>
    <hyperlink ref="Z11" r:id="rId5"/>
    <hyperlink ref="AL11" r:id="rId6"/>
    <hyperlink ref="E12" r:id="rId7"/>
    <hyperlink ref="N12" r:id="rId8"/>
    <hyperlink ref="AL12" r:id="rId9"/>
    <hyperlink ref="N13" r:id="rId10"/>
    <hyperlink ref="AL13" r:id="rId11"/>
    <hyperlink ref="E14" r:id="rId12"/>
    <hyperlink ref="N14" r:id="rId13"/>
    <hyperlink ref="E15" r:id="rId14"/>
    <hyperlink ref="N15" r:id="rId15"/>
    <hyperlink ref="AL15" r:id="rId16"/>
    <hyperlink ref="E16" r:id="rId17"/>
    <hyperlink ref="N16" r:id="rId18"/>
    <hyperlink ref="AL16" r:id="rId19"/>
    <hyperlink ref="N17" r:id="rId20"/>
    <hyperlink ref="AL17" r:id="rId21"/>
    <hyperlink ref="N18" r:id="rId22"/>
    <hyperlink ref="AL18" r:id="rId23"/>
    <hyperlink ref="N19" r:id="rId24"/>
    <hyperlink ref="AL19" r:id="rId25"/>
    <hyperlink ref="N20" r:id="rId26"/>
    <hyperlink ref="AL20" r:id="rId27"/>
    <hyperlink ref="E21" r:id="rId28"/>
    <hyperlink ref="N21" r:id="rId29"/>
    <hyperlink ref="Z21" r:id="rId30"/>
    <hyperlink ref="AL21" r:id="rId31"/>
    <hyperlink ref="I23" r:id="rId32"/>
    <hyperlink ref="O23" r:id="rId33"/>
    <hyperlink ref="U23" r:id="rId34"/>
    <hyperlink ref="AA23" r:id="rId35"/>
    <hyperlink ref="AG23" r:id="rId36"/>
  </hyperlinks>
  <pageMargins left="0.7" right="0.7" top="0.75" bottom="0.75" header="0.3" footer="0.3"/>
  <drawing r:id="rId37"/>
  <legacyDrawing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9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12.7109375" customWidth="1"/>
    <col min="2" max="2" width="15.7109375" customWidth="1"/>
    <col min="3" max="3" width="40.7109375" customWidth="1" outlineLevel="2"/>
    <col min="4" max="4" width="31.7109375" customWidth="1" outlineLevel="1"/>
    <col min="5" max="5" width="21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21.7109375" customWidth="1" outlineLevel="2"/>
    <col min="15" max="15" width="9.7109375" customWidth="1" outlineLevel="1"/>
    <col min="16" max="16" width="9.140625" outlineLevel="2"/>
    <col min="17" max="17" width="10.7109375" customWidth="1" outlineLevel="2"/>
    <col min="18" max="18" width="0" hidden="1" customWidth="1" outlineLevel="3" collapsed="1"/>
    <col min="19" max="19" width="16.7109375" customWidth="1"/>
    <col min="20" max="20" width="28.7109375" customWidth="1" outlineLevel="2"/>
    <col min="21" max="21" width="9.7109375" customWidth="1" outlineLevel="1"/>
    <col min="22" max="22" width="9.140625" outlineLevel="2"/>
    <col min="23" max="23" width="10.7109375" customWidth="1" outlineLevel="2"/>
    <col min="24" max="24" width="0" hidden="1" customWidth="1" outlineLevel="3" collapsed="1"/>
    <col min="25" max="25" width="16.7109375" customWidth="1"/>
    <col min="26" max="26" width="16.7109375" customWidth="1" outlineLevel="2"/>
    <col min="27" max="27" width="9.7109375" customWidth="1" outlineLevel="1"/>
    <col min="28" max="28" width="9.140625" outlineLevel="2"/>
    <col min="29" max="29" width="10.7109375" customWidth="1" outlineLevel="2"/>
    <col min="30" max="30" width="0" hidden="1" customWidth="1" outlineLevel="3" collapsed="1"/>
    <col min="31" max="31" width="16.7109375" customWidth="1"/>
    <col min="32" max="32" width="20.7109375" customWidth="1" outlineLevel="2"/>
    <col min="33" max="33" width="9.7109375" customWidth="1" outlineLevel="1"/>
    <col min="34" max="34" width="9.140625" outlineLevel="2"/>
    <col min="35" max="35" width="10.7109375" customWidth="1" outlineLevel="2"/>
    <col min="36" max="36" width="0" hidden="1" customWidth="1" outlineLevel="3" collapsed="1"/>
    <col min="37" max="37" width="16.7109375" customWidth="1"/>
    <col min="38" max="38" width="16.7109375" customWidth="1" outlineLevel="2"/>
  </cols>
  <sheetData>
    <row r="1" spans="1:38" ht="32" customHeight="1">
      <c r="D1" s="2" t="s">
        <v>73</v>
      </c>
      <c r="E1" s="2"/>
      <c r="F1" s="2"/>
      <c r="G1" s="2"/>
      <c r="H1" s="2"/>
    </row>
    <row r="2" spans="1:38">
      <c r="D2" s="3" t="s">
        <v>74</v>
      </c>
      <c r="E2" s="4" t="s">
        <v>75</v>
      </c>
      <c r="G2" s="12" t="s">
        <v>192</v>
      </c>
      <c r="H2" s="12">
        <v>50</v>
      </c>
    </row>
    <row r="3" spans="1:38">
      <c r="D3" s="3" t="s">
        <v>76</v>
      </c>
      <c r="E3" s="4" t="s">
        <v>77</v>
      </c>
      <c r="G3" s="13" t="s">
        <v>194</v>
      </c>
      <c r="H3" s="14">
        <f>TotalCost/BoardQty</f>
        <v>2.6887</v>
      </c>
    </row>
    <row r="4" spans="1:38">
      <c r="D4" s="3" t="s">
        <v>78</v>
      </c>
      <c r="E4" s="4" t="s">
        <v>79</v>
      </c>
      <c r="G4" s="13" t="s">
        <v>193</v>
      </c>
      <c r="H4" s="15">
        <f>SUM(H10:H18)</f>
        <v>134.4355</v>
      </c>
      <c r="M4" s="15">
        <f>SUM(M10:M18)</f>
        <v>163.35</v>
      </c>
      <c r="N4" s="16" t="str">
        <f>(COUNTA(M10:M18)&amp;" of "&amp;ROWS(M10:M18)&amp;" parts found")</f>
        <v>8 of 9 parts found</v>
      </c>
      <c r="S4" s="15">
        <f>SUM(S10:S18)</f>
        <v>187.695</v>
      </c>
      <c r="T4" s="16" t="str">
        <f>(COUNTA(S10:S18)&amp;" of "&amp;ROWS(S10:S18)&amp;" parts found")</f>
        <v>9 of 9 parts found</v>
      </c>
      <c r="Y4" s="15">
        <f>SUM(Y10:Y18)</f>
        <v>89.266</v>
      </c>
      <c r="Z4" s="16" t="str">
        <f>(COUNTA(Y10:Y18)&amp;" of "&amp;ROWS(Y10:Y18)&amp;" parts found")</f>
        <v>4 of 9 parts found</v>
      </c>
      <c r="AE4" s="15">
        <f>SUM(AE10:AE18)</f>
        <v>177.37</v>
      </c>
      <c r="AF4" s="16" t="str">
        <f>(COUNTA(AE10:AE18)&amp;" of "&amp;ROWS(AE10:AE18)&amp;" parts found")</f>
        <v>7 of 9 parts found</v>
      </c>
      <c r="AK4" s="15">
        <f>SUM(AK10:AK18)</f>
        <v>151.2868</v>
      </c>
      <c r="AL4" s="16" t="str">
        <f>(COUNTA(AK10:AK18)&amp;" of "&amp;ROWS(AK10:AK18)&amp;" parts found")</f>
        <v>9 of 9 parts found</v>
      </c>
    </row>
    <row r="5" spans="1:38">
      <c r="D5" s="3" t="s">
        <v>80</v>
      </c>
      <c r="E5" s="4" t="s">
        <v>81</v>
      </c>
    </row>
    <row r="6" spans="1:38">
      <c r="D6" s="3" t="s">
        <v>82</v>
      </c>
      <c r="E6" s="4" t="s">
        <v>83</v>
      </c>
    </row>
    <row r="8" spans="1:38">
      <c r="A8" s="17" t="s">
        <v>130</v>
      </c>
      <c r="B8" s="17"/>
      <c r="C8" s="17"/>
      <c r="D8" s="17"/>
      <c r="E8" s="17"/>
      <c r="F8" s="17"/>
      <c r="G8" s="17"/>
      <c r="H8" s="17"/>
      <c r="I8" s="18" t="s">
        <v>145</v>
      </c>
      <c r="J8" s="18"/>
      <c r="K8" s="18"/>
      <c r="L8" s="18"/>
      <c r="M8" s="18"/>
      <c r="N8" s="18"/>
      <c r="O8" s="19" t="s">
        <v>164</v>
      </c>
      <c r="P8" s="19"/>
      <c r="Q8" s="19"/>
      <c r="R8" s="19"/>
      <c r="S8" s="19"/>
      <c r="T8" s="19"/>
      <c r="U8" s="20" t="s">
        <v>170</v>
      </c>
      <c r="V8" s="20"/>
      <c r="W8" s="20"/>
      <c r="X8" s="20"/>
      <c r="Y8" s="20"/>
      <c r="Z8" s="20"/>
      <c r="AA8" s="21" t="s">
        <v>173</v>
      </c>
      <c r="AB8" s="21"/>
      <c r="AC8" s="21"/>
      <c r="AD8" s="21"/>
      <c r="AE8" s="21"/>
      <c r="AF8" s="21"/>
      <c r="AG8" s="22" t="s">
        <v>176</v>
      </c>
      <c r="AH8" s="22"/>
      <c r="AI8" s="22"/>
      <c r="AJ8" s="22"/>
      <c r="AK8" s="22"/>
      <c r="AL8" s="22"/>
    </row>
    <row r="9" spans="1:38">
      <c r="A9" s="23" t="s">
        <v>0</v>
      </c>
      <c r="B9" s="23" t="s">
        <v>2</v>
      </c>
      <c r="C9" s="23" t="s">
        <v>131</v>
      </c>
      <c r="D9" s="23" t="s">
        <v>4</v>
      </c>
      <c r="E9" s="23" t="s">
        <v>5</v>
      </c>
      <c r="F9" s="23" t="s">
        <v>132</v>
      </c>
      <c r="G9" s="23" t="s">
        <v>133</v>
      </c>
      <c r="H9" s="23" t="s">
        <v>134</v>
      </c>
      <c r="I9" s="23" t="s">
        <v>146</v>
      </c>
      <c r="J9" s="23" t="s">
        <v>147</v>
      </c>
      <c r="K9" s="23" t="s">
        <v>133</v>
      </c>
      <c r="L9" s="23" t="s">
        <v>148</v>
      </c>
      <c r="M9" s="23" t="s">
        <v>134</v>
      </c>
      <c r="N9" s="23" t="s">
        <v>149</v>
      </c>
      <c r="O9" s="23" t="s">
        <v>146</v>
      </c>
      <c r="P9" s="23" t="s">
        <v>147</v>
      </c>
      <c r="Q9" s="23" t="s">
        <v>133</v>
      </c>
      <c r="R9" s="23" t="s">
        <v>148</v>
      </c>
      <c r="S9" s="23" t="s">
        <v>134</v>
      </c>
      <c r="T9" s="23" t="s">
        <v>149</v>
      </c>
      <c r="U9" s="23" t="s">
        <v>146</v>
      </c>
      <c r="V9" s="23" t="s">
        <v>147</v>
      </c>
      <c r="W9" s="23" t="s">
        <v>133</v>
      </c>
      <c r="X9" s="23" t="s">
        <v>148</v>
      </c>
      <c r="Y9" s="23" t="s">
        <v>134</v>
      </c>
      <c r="Z9" s="23" t="s">
        <v>149</v>
      </c>
      <c r="AA9" s="23" t="s">
        <v>146</v>
      </c>
      <c r="AB9" s="23" t="s">
        <v>147</v>
      </c>
      <c r="AC9" s="23" t="s">
        <v>133</v>
      </c>
      <c r="AD9" s="23" t="s">
        <v>148</v>
      </c>
      <c r="AE9" s="23" t="s">
        <v>134</v>
      </c>
      <c r="AF9" s="23" t="s">
        <v>149</v>
      </c>
      <c r="AG9" s="23" t="s">
        <v>146</v>
      </c>
      <c r="AH9" s="23" t="s">
        <v>147</v>
      </c>
      <c r="AI9" s="23" t="s">
        <v>133</v>
      </c>
      <c r="AJ9" s="23" t="s">
        <v>148</v>
      </c>
      <c r="AK9" s="23" t="s">
        <v>134</v>
      </c>
      <c r="AL9" s="23" t="s">
        <v>149</v>
      </c>
    </row>
    <row r="10" spans="1:38">
      <c r="A10" s="24" t="s">
        <v>89</v>
      </c>
      <c r="B10" s="24" t="s">
        <v>90</v>
      </c>
      <c r="C10" s="24" t="s">
        <v>135</v>
      </c>
      <c r="D10" s="24" t="s">
        <v>11</v>
      </c>
      <c r="E10" s="24" t="s">
        <v>91</v>
      </c>
      <c r="F10" s="24">
        <f>CEILING(BoardQty*2,1)</f>
        <v>100</v>
      </c>
      <c r="G10" s="25">
        <f>IF(MIN(AC10,Q10,AI10,K10,W10)&lt;&gt;0,MIN(AC10,Q10,AI10,K10,W10),"")</f>
        <v>0.01301</v>
      </c>
      <c r="H10" s="26">
        <f>IF(AND(ISNUMBER(F10),ISNUMBER(G10)),F10*G10,"")</f>
        <v>1.301</v>
      </c>
      <c r="I10" s="27" t="s">
        <v>152</v>
      </c>
      <c r="J10" s="24"/>
      <c r="N10" s="24" t="s">
        <v>151</v>
      </c>
      <c r="O10" s="24">
        <v>468880</v>
      </c>
      <c r="P10" s="24"/>
      <c r="Q10" s="25">
        <f>IFERROR(IF(OR(P10&gt;=R10,F10&gt;=R10),LOOKUP(IF(P10="",F10,P10),{0,1,10,50,100,500,1000,4000,8000,12000,40000},{0.0,0.1,0.056,0.0304,0.0247,0.01768,0.01389,0.01162,0.01061,0.0101,0.0096}),"MOQ="&amp;R10),"")</f>
        <v>0.0247</v>
      </c>
      <c r="R10" s="24">
        <v>1</v>
      </c>
      <c r="S10" s="26">
        <f>IFERROR(IF(P10="",F10,P10)*Q10,"")</f>
        <v>2.47</v>
      </c>
      <c r="T10" s="24" t="s">
        <v>211</v>
      </c>
      <c r="U10" s="27" t="s">
        <v>152</v>
      </c>
      <c r="V10" s="24"/>
      <c r="W10" s="25">
        <f>IFERROR(IF(OR(V10&gt;=X10,F10&gt;=X10),LOOKUP(IF(V10="",F10,V10),{0,1,100,300,1000,4000,12000},{0.0,0.01301,0.01301,0.00944,0.00618,0.00478,0.00459}),"MOQ="&amp;X10),"")</f>
        <v>0.01301</v>
      </c>
      <c r="X10" s="24">
        <v>100</v>
      </c>
      <c r="Y10" s="26">
        <f>IFERROR(IF(V10="",F10,V10)*W10,"")</f>
        <v>1.301</v>
      </c>
      <c r="Z10" s="24" t="s">
        <v>218</v>
      </c>
      <c r="AA10" s="24">
        <v>692000</v>
      </c>
      <c r="AB10" s="24"/>
      <c r="AC10" s="25" t="str">
        <f>IFERROR(IF(OR(AB10&gt;=AD10,F10&gt;=AD10),LOOKUP(IF(AB10="",F10,AB10),{0,1,4000,8000,12000,40000},{0.0,0.0146,0.0146,0.0135,0.0124,0.0086}),"MOQ="&amp;AD10),"")</f>
        <v/>
      </c>
      <c r="AD10" s="24">
        <v>4000</v>
      </c>
      <c r="AE10" s="26" t="str">
        <f>IFERROR(IF(AB10="",F10,AB10)*AC10,"")</f>
        <v/>
      </c>
      <c r="AF10" s="24" t="s">
        <v>219</v>
      </c>
      <c r="AG10" s="24">
        <v>78877</v>
      </c>
      <c r="AH10" s="24"/>
      <c r="AI10" s="25">
        <f>IFERROR(IF(OR(AH10&gt;=AJ10,F10&gt;=AJ10),USD_GBP*LOOKUP(IF(AH10="",F10,AH10),{0,1,10,100,500,1000,2000},{0.0,0.055,0.055,0.025,0.018,0.014,0.013}),"MOQ="&amp;AJ10),"")</f>
        <v>0.030913978494623656</v>
      </c>
      <c r="AJ10" s="24">
        <v>10</v>
      </c>
      <c r="AK10" s="26">
        <f>IFERROR(IF(AH10="",F10,AH10)*AI10,"")</f>
        <v>3.0914</v>
      </c>
      <c r="AL10" s="24" t="s">
        <v>220</v>
      </c>
    </row>
    <row r="11" spans="1:38">
      <c r="A11" s="24" t="s">
        <v>93</v>
      </c>
      <c r="B11" s="24" t="s">
        <v>95</v>
      </c>
      <c r="C11" s="24" t="s">
        <v>198</v>
      </c>
      <c r="D11" s="24" t="s">
        <v>28</v>
      </c>
      <c r="E11" s="24" t="s">
        <v>95</v>
      </c>
      <c r="F11" s="24">
        <f>BoardQty*1</f>
        <v>50</v>
      </c>
      <c r="G11" s="25">
        <f>IF(MIN(AC11,Q11,AI11,K11,W11)&lt;&gt;0,MIN(AC11,Q11,AI11,K11,W11),"")</f>
        <v>0.2572</v>
      </c>
      <c r="H11" s="26">
        <f>IF(AND(ISNUMBER(F11),ISNUMBER(G11)),F11*G11,"")</f>
        <v>12.86</v>
      </c>
      <c r="I11" s="24">
        <v>42588</v>
      </c>
      <c r="J11" s="24"/>
      <c r="K11" s="25">
        <f>IFERROR(IF(OR(J11&gt;=L11,F11&gt;=L11),LOOKUP(IF(J11="",F11,J11),{0,1,10,100,500,1000,2000,4000,8000},{0.0,0.31,0.264,0.219,0.182,0.173,0.147,0.137,0.129}),"MOQ="&amp;L11),"")</f>
        <v>0.264</v>
      </c>
      <c r="L11" s="24">
        <v>1</v>
      </c>
      <c r="M11" s="26">
        <f>IFERROR(IF(J11="",F11,J11)*K11,"")</f>
        <v>13.2</v>
      </c>
      <c r="N11" s="24" t="s">
        <v>203</v>
      </c>
      <c r="O11" s="24">
        <v>87452</v>
      </c>
      <c r="P11" s="24"/>
      <c r="Q11" s="25">
        <f>IFERROR(IF(OR(P11&gt;=R11,F11&gt;=R11),LOOKUP(IF(P11="",F11,P11),{0,1,5,10,50,100,250,500,1000,2000,4000,6000,10000},{0.0,0.32,0.31,0.295,0.2636,0.2454,0.21816,0.1818,0.17271,0.15453,0.14544,0.13635,0.12726}),"MOQ="&amp;R11),"")</f>
        <v>0.2636</v>
      </c>
      <c r="R11" s="24">
        <v>1</v>
      </c>
      <c r="S11" s="26">
        <f>IFERROR(IF(P11="",F11,P11)*Q11,"")</f>
        <v>13.18</v>
      </c>
      <c r="T11" s="24" t="s">
        <v>212</v>
      </c>
      <c r="U11" s="24">
        <v>5355</v>
      </c>
      <c r="V11" s="24"/>
      <c r="W11" s="25">
        <f>IFERROR(IF(OR(V11&gt;=X11,F11&gt;=X11),LOOKUP(IF(V11="",F11,V11),{0,1,5,100,500,1000,1500},{0.0,0.4158,0.4158,0.2666,0.2132,0.1919,0.1813}),"MOQ="&amp;X11),"")</f>
        <v>0.4158</v>
      </c>
      <c r="X11" s="24">
        <v>5</v>
      </c>
      <c r="Y11" s="26">
        <f>IFERROR(IF(V11="",F11,V11)*W11,"")</f>
        <v>20.79</v>
      </c>
      <c r="Z11" s="24" t="s">
        <v>95</v>
      </c>
      <c r="AA11" s="24">
        <v>194000</v>
      </c>
      <c r="AB11" s="24"/>
      <c r="AC11" s="25">
        <f>IFERROR(IF(OR(AB11&gt;=AD11,F11&gt;=AD11),LOOKUP(IF(AB11="",F11,AB11),{0,1,10,25,100,250,500,1000,3000,4000,6000},{0.0,0.3093,0.2633,0.2572,0.2106,0.2006,0.1732,0.17,0.1668,0.1209,0.1636}),"MOQ="&amp;AD11),"")</f>
        <v>0.2572</v>
      </c>
      <c r="AD11" s="24">
        <v>1</v>
      </c>
      <c r="AE11" s="26">
        <f>IFERROR(IF(AB11="",F11,AB11)*AC11,"")</f>
        <v>12.86</v>
      </c>
      <c r="AF11" s="24" t="s">
        <v>95</v>
      </c>
      <c r="AG11" s="24">
        <v>29811</v>
      </c>
      <c r="AH11" s="24"/>
      <c r="AI11" s="25">
        <f>IFERROR(IF(OR(AH11&gt;=AJ11,F11&gt;=AJ11),USD_GBP*LOOKUP(IF(AH11="",F11,AH11),{0,1,10,100,500,1000,2000,4000,20000,40000},{0.0,0.435,0.435,0.381,0.316,0.283,0.261,0.244,0.231,0.222}),"MOQ="&amp;AJ11),"")</f>
        <v>0.5379032258064517</v>
      </c>
      <c r="AJ11" s="24">
        <v>10</v>
      </c>
      <c r="AK11" s="26">
        <f>IFERROR(IF(AH11="",F11,AH11)*AI11,"")</f>
        <v>26.8952</v>
      </c>
      <c r="AL11" s="24" t="s">
        <v>221</v>
      </c>
    </row>
    <row r="12" spans="1:38">
      <c r="A12" s="24" t="s">
        <v>97</v>
      </c>
      <c r="B12" s="24" t="s">
        <v>99</v>
      </c>
      <c r="C12" s="24" t="s">
        <v>143</v>
      </c>
      <c r="D12" s="24" t="s">
        <v>100</v>
      </c>
      <c r="E12" s="24" t="s">
        <v>99</v>
      </c>
      <c r="F12" s="24">
        <f>BoardQty*1</f>
        <v>50</v>
      </c>
      <c r="G12" s="25">
        <f>IF(MIN(AC12,Q12,AI12,K12,W12)&lt;&gt;0,MIN(AC12,Q12,AI12,K12,W12),"")</f>
        <v>0.0672</v>
      </c>
      <c r="H12" s="26">
        <f>IF(AND(ISNUMBER(F12),ISNUMBER(G12)),F12*G12,"")</f>
        <v>3.36</v>
      </c>
      <c r="I12" s="24">
        <v>927679</v>
      </c>
      <c r="J12" s="24"/>
      <c r="K12" s="25">
        <f>IFERROR(IF(OR(J12&gt;=L12,F12&gt;=L12),LOOKUP(IF(J12="",F12,J12),{0,1,10,100,500,1000,4000,8000,24000},{0.0,0.1,0.068,0.036,0.033,0.029,0.022,0.021,0.02}),"MOQ="&amp;L12),"")</f>
        <v>0.068</v>
      </c>
      <c r="L12" s="24">
        <v>1</v>
      </c>
      <c r="M12" s="26">
        <f>IFERROR(IF(J12="",F12,J12)*K12,"")</f>
        <v>3.4</v>
      </c>
      <c r="N12" s="24" t="s">
        <v>204</v>
      </c>
      <c r="O12" s="24">
        <v>1303117</v>
      </c>
      <c r="P12" s="24"/>
      <c r="Q12" s="25">
        <f>IFERROR(IF(OR(P12&gt;=R12,F12&gt;=R12),LOOKUP(IF(P12="",F12,P12),{0,1,10,25,50,100,250,500,1000,4000,8000,12000,28000,100000},{0.0,0.1,0.082,0.0748,0.0672,0.0493,0.03588,0.03288,0.0284,0.02392,0.02168,0.02093,0.01943,0.01921}),"MOQ="&amp;R12),"")</f>
        <v>0.0672</v>
      </c>
      <c r="R12" s="24">
        <v>1</v>
      </c>
      <c r="S12" s="26">
        <f>IFERROR(IF(P12="",F12,P12)*Q12,"")</f>
        <v>3.36</v>
      </c>
      <c r="T12" s="24" t="s">
        <v>213</v>
      </c>
      <c r="U12" s="24">
        <v>531100</v>
      </c>
      <c r="V12" s="24"/>
      <c r="W12" s="25" t="str">
        <f>IFERROR(IF(OR(V12&gt;=X12,F12&gt;=X12),LOOKUP(IF(V12="",F12,V12),{0,1,100,500,1000,4000,12000},{0.0,0.02573,0.02573,0.0196,0.01619,0.01435,0.01383}),"MOQ="&amp;X12),"")</f>
        <v/>
      </c>
      <c r="X12" s="24">
        <v>100</v>
      </c>
      <c r="Y12" s="26" t="str">
        <f>IFERROR(IF(V12="",F12,V12)*W12,"")</f>
        <v/>
      </c>
      <c r="Z12" s="24" t="s">
        <v>99</v>
      </c>
      <c r="AA12" s="24">
        <v>5473</v>
      </c>
      <c r="AB12" s="24"/>
      <c r="AC12" s="25">
        <f>IFERROR(IF(OR(AB12&gt;=AD12,F12&gt;=AD12),LOOKUP(IF(AB12="",F12,AB12),{0,1,10,25,100,250,500,1000,3000},{0.0,0.1059,0.0769,0.0704,0.0451,0.0404,0.0382,0.0352,0.0251}),"MOQ="&amp;AD12),"")</f>
        <v>0.0704</v>
      </c>
      <c r="AD12" s="24">
        <v>1</v>
      </c>
      <c r="AE12" s="26">
        <f>IFERROR(IF(AB12="",F12,AB12)*AC12,"")</f>
        <v>3.52</v>
      </c>
      <c r="AF12" s="24" t="s">
        <v>99</v>
      </c>
      <c r="AG12" s="24">
        <v>467696</v>
      </c>
      <c r="AH12" s="24"/>
      <c r="AI12" s="25">
        <f>IFERROR(IF(OR(AH12&gt;=AJ12,F12&gt;=AJ12),USD_GBP*LOOKUP(IF(AH12="",F12,AH12),{0,1,10,100,500,1000,2000,4000,20000},{0.0,0.059,0.059,0.032,0.029,0.025,0.024,0.023,0.0225}),"MOQ="&amp;AJ12),"")</f>
        <v>0.07295698924731182</v>
      </c>
      <c r="AJ12" s="24">
        <v>10</v>
      </c>
      <c r="AK12" s="26">
        <f>IFERROR(IF(AH12="",F12,AH12)*AI12,"")</f>
        <v>3.6478</v>
      </c>
      <c r="AL12" s="24" t="s">
        <v>222</v>
      </c>
    </row>
    <row r="13" spans="1:38">
      <c r="A13" s="24" t="s">
        <v>102</v>
      </c>
      <c r="B13" s="24" t="s">
        <v>104</v>
      </c>
      <c r="C13" s="24" t="s">
        <v>199</v>
      </c>
      <c r="D13" s="24" t="s">
        <v>44</v>
      </c>
      <c r="E13" s="24" t="s">
        <v>105</v>
      </c>
      <c r="F13" s="24">
        <f>BoardQty*1</f>
        <v>50</v>
      </c>
      <c r="G13" s="25">
        <f>IF(MIN(AC13,Q13,AI13,K13,W13)&lt;&gt;0,MIN(AC13,Q13,AI13,K13,W13),"")</f>
        <v>0.165</v>
      </c>
      <c r="H13" s="26">
        <f>IF(AND(ISNUMBER(F13),ISNUMBER(G13)),F13*G13,"")</f>
        <v>8.25</v>
      </c>
      <c r="I13" s="24">
        <v>1802</v>
      </c>
      <c r="J13" s="24"/>
      <c r="K13" s="25">
        <f>IFERROR(IF(OR(J13&gt;=L13,F13&gt;=L13),LOOKUP(IF(J13="",F13,J13),{0,1,10,100,500,1000,2000,10000,25000,50000},{0.0,0.22,0.165,0.135,0.121,0.098,0.088,0.079,0.074,0.071}),"MOQ="&amp;L13),"")</f>
        <v>0.165</v>
      </c>
      <c r="L13" s="24">
        <v>1</v>
      </c>
      <c r="M13" s="26">
        <f>IFERROR(IF(J13="",F13,J13)*K13,"")</f>
        <v>8.25</v>
      </c>
      <c r="N13" s="24" t="s">
        <v>205</v>
      </c>
      <c r="O13" s="24">
        <v>5000</v>
      </c>
      <c r="P13" s="24"/>
      <c r="Q13" s="25">
        <f>IFERROR(IF(OR(P13&gt;=R13,F13&gt;=R13),LOOKUP(IF(P13="",F13,P13),{0,1,10,100,500,1000,5000,10000},{0.0,0.22,0.188,0.1444,0.1222,0.09999,0.08888,0.08055}),"MOQ="&amp;R13),"")</f>
        <v>0.188</v>
      </c>
      <c r="R13" s="24">
        <v>1</v>
      </c>
      <c r="S13" s="26">
        <f>IFERROR(IF(P13="",F13,P13)*Q13,"")</f>
        <v>9.4</v>
      </c>
      <c r="T13" s="24" t="s">
        <v>106</v>
      </c>
      <c r="AG13" s="24">
        <v>1897</v>
      </c>
      <c r="AH13" s="24"/>
      <c r="AI13" s="25" t="str">
        <f>IFERROR(IF(OR(AH13&gt;=AJ13,F13&gt;=AJ13),USD_GBP*LOOKUP(IF(AH13="",F13,AH13),{0,1,100,500,1000,2500,5000,10000},{0.0,0.123,0.123,0.104,0.0849,0.0802,0.0755,0.0684}),"MOQ="&amp;AJ13),"")</f>
        <v/>
      </c>
      <c r="AJ13" s="24">
        <v>100</v>
      </c>
      <c r="AK13" s="26" t="str">
        <f>IFERROR(IF(AH13="",F13,AH13)*AI13,"")</f>
        <v/>
      </c>
      <c r="AL13" s="24" t="s">
        <v>223</v>
      </c>
    </row>
    <row r="14" spans="1:38">
      <c r="A14" s="24" t="s">
        <v>107</v>
      </c>
      <c r="B14" s="24" t="s">
        <v>108</v>
      </c>
      <c r="C14" s="24" t="s">
        <v>200</v>
      </c>
      <c r="D14" s="24" t="s">
        <v>109</v>
      </c>
      <c r="E14" s="24" t="s">
        <v>110</v>
      </c>
      <c r="F14" s="24">
        <f>BoardQty*1</f>
        <v>50</v>
      </c>
      <c r="G14" s="25">
        <f>IF(MIN(AC14,Q14,AI14,K14,W14)&lt;&gt;0,MIN(AC14,Q14,AI14,K14,W14),"")</f>
        <v>1.261290322580645</v>
      </c>
      <c r="H14" s="26">
        <f>IF(AND(ISNUMBER(F14),ISNUMBER(G14)),F14*G14,"")</f>
        <v>63.0645</v>
      </c>
      <c r="I14" s="24">
        <v>12421</v>
      </c>
      <c r="J14" s="24"/>
      <c r="K14" s="25">
        <f>IFERROR(IF(OR(J14&gt;=L14,F14&gt;=L14),LOOKUP(IF(J14="",F14,J14),{0,1,10,100,500,1000,2500,5000,10000},{0.0,2.18,1.84,1.57,1.31,1.12,1.08,1.05,1.04}),"MOQ="&amp;L14),"")</f>
        <v>1.84</v>
      </c>
      <c r="L14" s="24">
        <v>1</v>
      </c>
      <c r="M14" s="26">
        <f>IFERROR(IF(J14="",F14,J14)*K14,"")</f>
        <v>92.0</v>
      </c>
      <c r="N14" s="24" t="s">
        <v>206</v>
      </c>
      <c r="O14" s="24">
        <v>20876</v>
      </c>
      <c r="P14" s="24"/>
      <c r="Q14" s="25">
        <f>IFERROR(IF(OR(P14&gt;=R14,F14&gt;=R14),LOOKUP(IF(P14="",F14,P14),{0,1,10,25,40,100,300,500,1000,2400},{0.0,2.68,2.331,2.232,2.1825,2.0833,1.88487,1.73608,1.48806,1.38886}),"MOQ="&amp;R14),"")</f>
        <v>2.1825</v>
      </c>
      <c r="R14" s="24">
        <v>1</v>
      </c>
      <c r="S14" s="26">
        <f>IFERROR(IF(P14="",F14,P14)*Q14,"")</f>
        <v>109.125</v>
      </c>
      <c r="T14" s="24" t="s">
        <v>111</v>
      </c>
      <c r="U14" s="27" t="s">
        <v>152</v>
      </c>
      <c r="V14" s="24"/>
      <c r="W14" s="25">
        <f>IFERROR(IF(OR(V14&gt;=X14,F14&gt;=X14),LOOKUP(IF(V14="",F14,V14),{0,1,5,20,100,600},{0.0,2.0792,1.7486,1.3435,1.0769,0.9404}),"MOQ="&amp;X14),"")</f>
        <v>1.3435</v>
      </c>
      <c r="X14" s="24">
        <v>1</v>
      </c>
      <c r="Y14" s="26">
        <f>IFERROR(IF(V14="",F14,V14)*W14,"")</f>
        <v>67.175</v>
      </c>
      <c r="Z14" s="24" t="s">
        <v>110</v>
      </c>
      <c r="AA14" s="24">
        <v>84612</v>
      </c>
      <c r="AB14" s="24"/>
      <c r="AC14" s="25">
        <f>IFERROR(IF(OR(AB14&gt;=AD14,F14&gt;=AD14),LOOKUP(IF(AB14="",F14,AB14),{0,1,10,25,40,100,300,500,1000,2400},{0.0,1.614,1.5979,1.5819,1.5661,1.5583,1.5427,1.3061,1.1203,1.0292}),"MOQ="&amp;AD14),"")</f>
        <v>1.5661</v>
      </c>
      <c r="AD14" s="24">
        <v>1</v>
      </c>
      <c r="AE14" s="26">
        <f>IFERROR(IF(AB14="",F14,AB14)*AC14,"")</f>
        <v>78.305</v>
      </c>
      <c r="AF14" s="24" t="s">
        <v>110</v>
      </c>
      <c r="AG14" s="24">
        <v>458</v>
      </c>
      <c r="AH14" s="24"/>
      <c r="AI14" s="25">
        <f>IFERROR(IF(OR(AH14&gt;=AJ14,F14&gt;=AJ14),USD_GBP*LOOKUP(IF(AH14="",F14,AH14),{0,1,10,100,500,1000,2500},{0.0,1.08,1.02,0.968,0.933,0.914,0.896}),"MOQ="&amp;AJ14),"")</f>
        <v>1.261290322580645</v>
      </c>
      <c r="AJ14" s="24">
        <v>1</v>
      </c>
      <c r="AK14" s="26">
        <f>IFERROR(IF(AH14="",F14,AH14)*AI14,"")</f>
        <v>63.0645</v>
      </c>
      <c r="AL14" s="24" t="s">
        <v>224</v>
      </c>
    </row>
    <row r="15" spans="1:38">
      <c r="A15" s="24" t="s">
        <v>112</v>
      </c>
      <c r="B15" s="24" t="s">
        <v>113</v>
      </c>
      <c r="C15" s="24" t="s">
        <v>143</v>
      </c>
      <c r="D15" s="24" t="s">
        <v>28</v>
      </c>
      <c r="E15" s="24" t="s">
        <v>114</v>
      </c>
      <c r="F15" s="24">
        <f>CEILING(BoardQty*2,1)</f>
        <v>100</v>
      </c>
      <c r="G15" s="25">
        <f>IF(MIN(AC15,Q15,AI15,K15,W15)&lt;&gt;0,MIN(AC15,Q15,AI15,K15,W15),"")</f>
        <v>0.012</v>
      </c>
      <c r="H15" s="26">
        <f>IF(AND(ISNUMBER(F15),ISNUMBER(G15)),F15*G15,"")</f>
        <v>1.2</v>
      </c>
      <c r="I15" s="24">
        <v>64220</v>
      </c>
      <c r="J15" s="24"/>
      <c r="K15" s="25">
        <f>IFERROR(IF(OR(J15&gt;=L15,F15&gt;=L15),LOOKUP(IF(J15="",F15,J15),{0,1,10,100,1000,2500,5000},{0.0,0.1,0.029,0.012,0.006,0.005,0.003}),"MOQ="&amp;L15),"")</f>
        <v>0.012</v>
      </c>
      <c r="L15" s="24">
        <v>1</v>
      </c>
      <c r="M15" s="26">
        <f>IFERROR(IF(J15="",F15,J15)*K15,"")</f>
        <v>1.2</v>
      </c>
      <c r="N15" s="24" t="s">
        <v>207</v>
      </c>
      <c r="O15" s="24">
        <v>28748</v>
      </c>
      <c r="P15" s="24"/>
      <c r="Q15" s="25">
        <f>IFERROR(IF(OR(P15&gt;=R15,F15&gt;=R15),LOOKUP(IF(P15="",F15,P15),{0,1,10,100,1000,2500,5000,10000,25000,50000,125000},{0.0,0.1,0.045,0.0182,0.00819,0.00711,0.00587,0.0051,0.00448,0.00411,0.00403}),"MOQ="&amp;R15),"")</f>
        <v>0.0182</v>
      </c>
      <c r="R15" s="24">
        <v>1</v>
      </c>
      <c r="S15" s="26">
        <f>IFERROR(IF(P15="",F15,P15)*Q15,"")</f>
        <v>1.82</v>
      </c>
      <c r="T15" s="24" t="s">
        <v>214</v>
      </c>
      <c r="AG15" s="24">
        <v>3785</v>
      </c>
      <c r="AH15" s="24"/>
      <c r="AI15" s="25">
        <f>IFERROR(IF(OR(AH15&gt;=AJ15,F15&gt;=AJ15),USD_GBP*LOOKUP(IF(AH15="",F15,AH15),{0,1,10,100,500,1000,2500,5000,25000,50000},{0.0,0.0151,0.0151,0.0123,0.008,0.0066,0.0058,0.005,0.0038,0.0032}),"MOQ="&amp;AJ15),"")</f>
        <v>0.015209677419354839</v>
      </c>
      <c r="AJ15" s="24">
        <v>10</v>
      </c>
      <c r="AK15" s="26">
        <f>IFERROR(IF(AH15="",F15,AH15)*AI15,"")</f>
        <v>1.521</v>
      </c>
      <c r="AL15" s="24" t="s">
        <v>225</v>
      </c>
    </row>
    <row r="16" spans="1:38">
      <c r="A16" s="24" t="s">
        <v>116</v>
      </c>
      <c r="B16" s="24" t="s">
        <v>117</v>
      </c>
      <c r="C16" s="24" t="s">
        <v>143</v>
      </c>
      <c r="D16" s="24" t="s">
        <v>28</v>
      </c>
      <c r="E16" s="24" t="s">
        <v>118</v>
      </c>
      <c r="F16" s="24">
        <f>BoardQty*1</f>
        <v>50</v>
      </c>
      <c r="G16" s="25">
        <f>IF(MIN(AC16,Q16,AI16,K16,W16)&lt;&gt;0,MIN(AC16,Q16,AI16,K16,W16),"")</f>
        <v>0.0248</v>
      </c>
      <c r="H16" s="26">
        <f>IF(AND(ISNUMBER(F16),ISNUMBER(G16)),F16*G16,"")</f>
        <v>1.24</v>
      </c>
      <c r="I16" s="24">
        <v>143980</v>
      </c>
      <c r="J16" s="24"/>
      <c r="K16" s="25">
        <f>IFERROR(IF(OR(J16&gt;=L16,F16&gt;=L16),LOOKUP(IF(J16="",F16,J16),{0,1,10,100,1000,2500,5000},{0.0,0.1,0.029,0.012,0.006,0.005,0.003}),"MOQ="&amp;L16),"")</f>
        <v>0.029</v>
      </c>
      <c r="L16" s="24">
        <v>1</v>
      </c>
      <c r="M16" s="26">
        <f>IFERROR(IF(J16="",F16,J16)*K16,"")</f>
        <v>1.45</v>
      </c>
      <c r="N16" s="24" t="s">
        <v>208</v>
      </c>
      <c r="O16" s="24">
        <v>292832</v>
      </c>
      <c r="P16" s="24"/>
      <c r="Q16" s="25">
        <f>IFERROR(IF(OR(P16&gt;=R16,F16&gt;=R16),LOOKUP(IF(P16="",F16,P16),{0,1,10,100,1000,2500,5000,10000,25000,50000,125000},{0.0,0.1,0.025,0.0103,0.00464,0.00403,0.00333,0.00289,0.00254,0.00233,0.00228}),"MOQ="&amp;R16),"")</f>
        <v>0.025</v>
      </c>
      <c r="R16" s="24">
        <v>1</v>
      </c>
      <c r="S16" s="26">
        <f>IFERROR(IF(P16="",F16,P16)*Q16,"")</f>
        <v>1.25</v>
      </c>
      <c r="T16" s="24" t="s">
        <v>215</v>
      </c>
      <c r="AA16" s="24">
        <v>10000</v>
      </c>
      <c r="AB16" s="24"/>
      <c r="AC16" s="25">
        <f>IFERROR(IF(OR(AB16&gt;=AD16,F16&gt;=AD16),LOOKUP(IF(AB16="",F16,AB16),{0,1,10,25,100,250,500,1000,5000,125000},{0.0,0.0763,0.0265,0.0248,0.0103,0.0102,0.0101,0.0061,0.0047,0.0041}),"MOQ="&amp;AD16),"")</f>
        <v>0.0248</v>
      </c>
      <c r="AD16" s="24">
        <v>1</v>
      </c>
      <c r="AE16" s="26">
        <f>IFERROR(IF(AB16="",F16,AB16)*AC16,"")</f>
        <v>1.24</v>
      </c>
      <c r="AF16" s="24" t="s">
        <v>118</v>
      </c>
      <c r="AG16" s="24">
        <v>10948</v>
      </c>
      <c r="AH16" s="24"/>
      <c r="AI16" s="25">
        <f>IFERROR(IF(OR(AH16&gt;=AJ16,F16&gt;=AJ16),USD_GBP*LOOKUP(IF(AH16="",F16,AH16),{0,1,10,100,500,1000,2500},{0.0,0.0293,0.0293,0.0124,0.009,0.0056,0.0045}),"MOQ="&amp;AJ16),"")</f>
        <v>0.036231182795698924</v>
      </c>
      <c r="AJ16" s="24">
        <v>10</v>
      </c>
      <c r="AK16" s="26">
        <f>IFERROR(IF(AH16="",F16,AH16)*AI16,"")</f>
        <v>1.8116</v>
      </c>
      <c r="AL16" s="24" t="s">
        <v>226</v>
      </c>
    </row>
    <row r="17" spans="1:38">
      <c r="A17" s="24" t="s">
        <v>120</v>
      </c>
      <c r="B17" s="24" t="s">
        <v>122</v>
      </c>
      <c r="C17" s="24" t="s">
        <v>201</v>
      </c>
      <c r="D17" s="24" t="s">
        <v>28</v>
      </c>
      <c r="E17" s="24" t="s">
        <v>122</v>
      </c>
      <c r="F17" s="24">
        <f>CEILING(BoardQty*2,1)</f>
        <v>100</v>
      </c>
      <c r="G17" s="25">
        <f>IF(MIN(AC17,Q17,AI17,K17,W17)&lt;&gt;0,MIN(AC17,Q17,AI17,K17,W17),"")</f>
        <v>0.1703</v>
      </c>
      <c r="H17" s="26">
        <f>IF(AND(ISNUMBER(F17),ISNUMBER(G17)),F17*G17,"")</f>
        <v>17.03</v>
      </c>
      <c r="I17" s="24">
        <v>180136</v>
      </c>
      <c r="J17" s="24"/>
      <c r="K17" s="25">
        <f>IFERROR(IF(OR(J17&gt;=L17,F17&gt;=L17),LOOKUP(IF(J17="",F17,J17),{0,1,10,100,500,1000,5000,10000,25000,50000},{0.0,0.41,0.291,0.177,0.144,0.1,0.093,0.082,0.08,0.071}),"MOQ="&amp;L17),"")</f>
        <v>0.177</v>
      </c>
      <c r="L17" s="24">
        <v>1</v>
      </c>
      <c r="M17" s="26">
        <f>IFERROR(IF(J17="",F17,J17)*K17,"")</f>
        <v>17.7</v>
      </c>
      <c r="N17" s="24" t="s">
        <v>209</v>
      </c>
      <c r="O17" s="24">
        <v>485882</v>
      </c>
      <c r="P17" s="24"/>
      <c r="Q17" s="25">
        <f>IFERROR(IF(OR(P17&gt;=R17,F17&gt;=R17),LOOKUP(IF(P17="",F17,P17),{0,1,10,25,100,250,500,1000,2500,5000,10000,25000,50000,125000},{0.0,0.45,0.336,0.3032,0.2096,0.17648,0.14338,0.11029,0.09926,0.09375,0.08548,0.07996,0.07169,0.06893}),"MOQ="&amp;R17),"")</f>
        <v>0.2096</v>
      </c>
      <c r="R17" s="24">
        <v>1</v>
      </c>
      <c r="S17" s="26">
        <f>IFERROR(IF(P17="",F17,P17)*Q17,"")</f>
        <v>20.96</v>
      </c>
      <c r="T17" s="24" t="s">
        <v>216</v>
      </c>
      <c r="AA17" s="24">
        <v>40000</v>
      </c>
      <c r="AB17" s="24"/>
      <c r="AC17" s="25">
        <f>IFERROR(IF(OR(AB17&gt;=AD17,F17&gt;=AD17),LOOKUP(IF(AB17="",F17,AB17),{0,1,10,25,100,250,500,1000,3000,5000,10000,25000,50000,125000},{0.0,0.4088,0.3008,0.2834,0.1703,0.1681,0.1364,0.1069,0.1059,0.0871,0.08,0.0764,0.0675,0.0669}),"MOQ="&amp;AD17),"")</f>
        <v>0.1703</v>
      </c>
      <c r="AD17" s="24">
        <v>1</v>
      </c>
      <c r="AE17" s="26">
        <f>IFERROR(IF(AB17="",F17,AB17)*AC17,"")</f>
        <v>17.03</v>
      </c>
      <c r="AF17" s="24" t="s">
        <v>122</v>
      </c>
      <c r="AG17" s="24">
        <v>94702</v>
      </c>
      <c r="AH17" s="24"/>
      <c r="AI17" s="25">
        <f>IFERROR(IF(OR(AH17&gt;=AJ17,F17&gt;=AJ17),USD_GBP*LOOKUP(IF(AH17="",F17,AH17),{0,1,10,100,500,1000,2500,5000,25000},{0.0,0.249,0.249,0.149,0.121,0.084,0.0775,0.071,0.067}),"MOQ="&amp;AJ17),"")</f>
        <v>0.18424731182795698</v>
      </c>
      <c r="AJ17" s="24">
        <v>10</v>
      </c>
      <c r="AK17" s="26">
        <f>IFERROR(IF(AH17="",F17,AH17)*AI17,"")</f>
        <v>18.4247</v>
      </c>
      <c r="AL17" s="24" t="s">
        <v>227</v>
      </c>
    </row>
    <row r="18" spans="1:38">
      <c r="A18" s="24" t="s">
        <v>124</v>
      </c>
      <c r="B18" s="24" t="s">
        <v>126</v>
      </c>
      <c r="C18" s="24" t="s">
        <v>202</v>
      </c>
      <c r="D18" s="24" t="s">
        <v>127</v>
      </c>
      <c r="E18" s="24" t="s">
        <v>128</v>
      </c>
      <c r="F18" s="24">
        <f>BoardQty*1</f>
        <v>50</v>
      </c>
      <c r="G18" s="25">
        <f>IF(MIN(AC18,Q18,AI18,K18,W18)&lt;&gt;0,MIN(AC18,Q18,AI18,K18,W18),"")</f>
        <v>0.5226</v>
      </c>
      <c r="H18" s="26">
        <f>IF(AND(ISNUMBER(F18),ISNUMBER(G18)),F18*G18,"")</f>
        <v>26.13</v>
      </c>
      <c r="I18" s="24">
        <v>21526</v>
      </c>
      <c r="J18" s="24"/>
      <c r="K18" s="25">
        <f>IFERROR(IF(OR(J18&gt;=L18,F18&gt;=L18),LOOKUP(IF(J18="",F18,J18),{0,1,10,100,500,1000,2000,5000},{0.0,0.7,0.523,0.465,0.442,0.372,0.349,0.343}),"MOQ="&amp;L18),"")</f>
        <v>0.523</v>
      </c>
      <c r="L18" s="24">
        <v>1</v>
      </c>
      <c r="M18" s="26">
        <f>IFERROR(IF(J18="",F18,J18)*K18,"")</f>
        <v>26.15</v>
      </c>
      <c r="N18" s="24" t="s">
        <v>210</v>
      </c>
      <c r="O18" s="24">
        <v>62749</v>
      </c>
      <c r="P18" s="24"/>
      <c r="Q18" s="25">
        <f>IFERROR(IF(OR(P18&gt;=R18,F18&gt;=R18),LOOKUP(IF(P18="",F18,P18),{0,1,10,50,100,500,1000,3000,5000,10000},{0.0,0.7,0.581,0.5226,0.4646,0.44136,0.37168,0.34845,0.33684,0.32522}),"MOQ="&amp;R18),"")</f>
        <v>0.5226</v>
      </c>
      <c r="R18" s="24">
        <v>1</v>
      </c>
      <c r="S18" s="26">
        <f>IFERROR(IF(P18="",F18,P18)*Q18,"")</f>
        <v>26.13</v>
      </c>
      <c r="T18" s="24" t="s">
        <v>217</v>
      </c>
      <c r="AA18" s="24">
        <v>30000</v>
      </c>
      <c r="AB18" s="24"/>
      <c r="AC18" s="25">
        <f>IFERROR(IF(OR(AB18&gt;=AD18,F18&gt;=AD18),LOOKUP(IF(AB18="",F18,AB18),{0,1,10,25,100,250,1000,2000,3000,4000,5000,10000},{0.0,1.5703,1.338,1.2883,1.0854,0.692,0.5208,0.5156,0.5104,0.5053,0.5003,0.4952}),"MOQ="&amp;AD18),"")</f>
        <v>1.2883</v>
      </c>
      <c r="AD18" s="24">
        <v>1</v>
      </c>
      <c r="AE18" s="26">
        <f>IFERROR(IF(AB18="",F18,AB18)*AC18,"")</f>
        <v>64.415</v>
      </c>
      <c r="AF18" s="24" t="s">
        <v>128</v>
      </c>
      <c r="AG18" s="24">
        <v>17838</v>
      </c>
      <c r="AH18" s="24"/>
      <c r="AI18" s="25">
        <f>IFERROR(IF(OR(AH18&gt;=AJ18,F18&gt;=AJ18),USD_GBP*LOOKUP(IF(AH18="",F18,AH18),{0,1,50,100,250,500},{0.0,0.538,0.531,0.522,0.512,0.501}),"MOQ="&amp;AJ18),"")</f>
        <v>0.6566129032258065</v>
      </c>
      <c r="AJ18" s="24">
        <v>1</v>
      </c>
      <c r="AK18" s="26">
        <f>IFERROR(IF(AH18="",F18,AH18)*AI18,"")</f>
        <v>32.8306</v>
      </c>
      <c r="AL18" s="24" t="s">
        <v>228</v>
      </c>
    </row>
    <row r="20" spans="1:38">
      <c r="B20" s="29" t="s">
        <v>190</v>
      </c>
      <c r="G20" s="13" t="s">
        <v>188</v>
      </c>
      <c r="H20" s="15">
        <f>SUM(AE20,S20,AK20,M20,Y20)</f>
        <v>0</v>
      </c>
      <c r="I20" s="30" t="s">
        <v>163</v>
      </c>
      <c r="J20" s="16" t="str">
        <f>IFERROR(IF(COUNTIF(J10:J18,"&gt;0")&gt;0,COUNTIF(J10:J18,"&gt;0")&amp;" of "&amp;(ROWS(L10:L18)-COUNTBLANK(L10:L18))&amp;" parts purchased",""),"")</f>
        <v/>
      </c>
      <c r="M20" s="15">
        <f>SUMIF(J10:J18,"&gt;0",M10:M18)</f>
        <v>0</v>
      </c>
      <c r="O20" s="30" t="s">
        <v>163</v>
      </c>
      <c r="P20" s="16" t="str">
        <f>IFERROR(IF(COUNTIF(P10:P18,"&gt;0")&gt;0,COUNTIF(P10:P18,"&gt;0")&amp;" of "&amp;(ROWS(R10:R18)-COUNTBLANK(R10:R18))&amp;" parts purchased",""),"")</f>
        <v/>
      </c>
      <c r="S20" s="15">
        <f>SUMIF(P10:P18,"&gt;0",S10:S18)</f>
        <v>0</v>
      </c>
      <c r="U20" s="30" t="s">
        <v>163</v>
      </c>
      <c r="V20" s="16" t="str">
        <f>IFERROR(IF(COUNTIF(V10:V18,"&gt;0")&gt;0,COUNTIF(V10:V18,"&gt;0")&amp;" of "&amp;(ROWS(X10:X18)-COUNTBLANK(X10:X18))&amp;" parts purchased",""),"")</f>
        <v/>
      </c>
      <c r="Y20" s="15">
        <f>SUMIF(V10:V18,"&gt;0",Y10:Y18)</f>
        <v>0</v>
      </c>
      <c r="AA20" s="30" t="s">
        <v>163</v>
      </c>
      <c r="AB20" s="16" t="str">
        <f>IFERROR(IF(COUNTIF(AB10:AB18,"&gt;0")&gt;0,COUNTIF(AB10:AB18,"&gt;0")&amp;" of "&amp;(ROWS(AD10:AD18)-COUNTBLANK(AD10:AD18))&amp;" parts purchased",""),"")</f>
        <v/>
      </c>
      <c r="AE20" s="15">
        <f>SUMIF(AB10:AB18,"&gt;0",AE10:AE18)</f>
        <v>0</v>
      </c>
      <c r="AG20" s="30" t="s">
        <v>163</v>
      </c>
      <c r="AH20" s="16" t="str">
        <f>IFERROR(IF(COUNTIF(AH10:AH18,"&gt;0")&gt;0,COUNTIF(AH10:AH18,"&gt;0")&amp;" of "&amp;(ROWS(AJ10:AJ18)-COUNTBLANK(AJ10:AJ18))&amp;" parts purchased",""),"")</f>
        <v/>
      </c>
      <c r="AK20" s="15">
        <f>SUMIF(AH10:AH18,"&gt;0",AK10:AK18)</f>
        <v>0</v>
      </c>
    </row>
    <row r="21" spans="1:38">
      <c r="B21" s="29" t="s">
        <v>191</v>
      </c>
      <c r="C21">
        <v>1.236559139784946</v>
      </c>
      <c r="G21" s="29" t="s">
        <v>189</v>
      </c>
      <c r="J21" s="31" t="str">
        <f>CONCATENATE(J31,J32,J33,J34,J35,J36,J37,J38,J39)</f>
        <v/>
      </c>
      <c r="P21" s="31" t="str">
        <f>CONCATENATE(P31,P32,P33,P34,P35,P36,P37,P38,P39)</f>
        <v/>
      </c>
      <c r="V21" s="31" t="str">
        <f>CONCATENATE(V31,V32,V33,V34,V35,V36,V37,V38,V39)</f>
        <v/>
      </c>
      <c r="AB21" s="31" t="str">
        <f>CONCATENATE(AB31,AB32,AB33,AB34,AB35,AB36,AB37,AB38,AB39)</f>
        <v/>
      </c>
      <c r="AH21" s="31" t="str">
        <f>CONCATENATE(AH31,AH32,AH33,AH34,AH35,AH36,AH37,AH38,AH39)</f>
        <v/>
      </c>
    </row>
    <row r="23" spans="1:38">
      <c r="A23" s="32" t="s">
        <v>195</v>
      </c>
      <c r="B23" s="33" t="s">
        <v>229</v>
      </c>
    </row>
    <row r="24" spans="1:38">
      <c r="A24" s="34" t="s">
        <v>197</v>
      </c>
    </row>
    <row r="31" spans="1:38" ht="30" hidden="1" customHeight="1">
      <c r="J31" t="str">
        <f t="array" ref="J31:J39">IF(ISNUMBER(J10:J18)*(J10:J18&gt;=L10:L18)*(N10:N18&lt;&gt;""),N10:N18&amp;"|"&amp;TEXT(ROUNDUP(J10:J18/IF(ISNUMBER(L10:L18),L10:L18,1),0)*L10:L18,"##0")&amp;"|"&amp;SUBSTITUTE(SUBSTITUTE(SUBSTITUTE(IF(PURCHASE_DESCRIPTION&lt;&gt;"",PURCHASE_DESCRIPTION&amp;":","")&amp;A10:A18,"|",";")," ","_"),"
","_")&amp;CHAR(10),"")</f>
        <v/>
      </c>
      <c r="P31" t="str">
        <f t="array" ref="P31:P39">IF(ISNUMBER(P10:P18)*(P10:P18&gt;=R10:R18)*(T10:T18&lt;&gt;""),TEXT(ROUNDUP(P10:P18/IF(ISNUMBER(R10:R18),R10:R18,1),0)*R10:R18,"##0")&amp;","&amp;T10:T18&amp;","&amp;SUBSTITUTE(SUBSTITUTE(IF(PURCHASE_DESCRIPTION&lt;&gt;"",PURCHASE_DESCRIPTION&amp;":","")&amp;A10:A18,",",";"),"
"," ")&amp;CHAR(10),"")</f>
        <v/>
      </c>
      <c r="V31" t="str">
        <f t="array" ref="V31:V39">IF(ISNUMBER(V10:V18)*(V10:V18&gt;=X10:X18)*(Z10:Z18&lt;&gt;""),Z10:Z18&amp;" "&amp;TEXT(ROUNDUP(V10:V18/IF(ISNUMBER(X10:X18),X10:X18,1),0)*X10:X18,"##0")&amp;" "&amp;SUBSTITUTE(SUBSTITUTE(IF(PURCHASE_DESCRIPTION&lt;&gt;"",PURCHASE_DESCRIPTION&amp;":","")&amp;A10:A18," ",";"),"
",";")&amp;CHAR(10),"")</f>
        <v/>
      </c>
      <c r="AB31" t="str">
        <f t="array" ref="AB31:AB39">IF(ISNUMBER(AB10:AB18)*(AB10:AB18&gt;=AD10:AD18)*(AF10:AF18&lt;&gt;""),AF10:AF18&amp;","&amp;TEXT(ROUNDUP(AB10:AB18/IF(ISNUMBER(AD10:AD18),AD10:AD18,1),0)*AD10:AD18,"##0")&amp;","&amp;SUBSTITUTE(SUBSTITUTE(IF(PURCHASE_DESCRIPTION&lt;&gt;"",PURCHASE_DESCRIPTION&amp;":","")&amp;A10:A18,",",";"),"
"," ")&amp;CHAR(10),"")</f>
        <v/>
      </c>
      <c r="AH31" t="str">
        <f t="array" ref="AH31:AH39">IF(ISNUMBER(AH10:AH18)*(AH10:AH18&gt;=AJ10:AJ18)*(AL10:AL18&lt;&gt;""),AL10:AL18&amp;","&amp;TEXT(ROUNDUP(AH10:AH18/IF(ISNUMBER(AJ10:AJ18),AJ10:AJ18,1),0)*AJ10:AJ18,"##0")&amp;","&amp;""&amp;","&amp;LEFT(SUBSTITUTE(SUBSTITUTE(IF(PURCHASE_DESCRIPTION&lt;&gt;"",PURCHASE_DESCRIPTION&amp;":","")&amp;A10:A18,",",";"),"
"," "),30)&amp;CHAR(10),"")</f>
        <v/>
      </c>
    </row>
    <row r="32" spans="1:38" ht="30" hidden="1" customHeight="1">
      <c r="J32">
        <v>0</v>
      </c>
      <c r="P32">
        <v>0</v>
      </c>
      <c r="V32">
        <v>0</v>
      </c>
      <c r="AB32">
        <v>0</v>
      </c>
      <c r="AH32">
        <v>0</v>
      </c>
    </row>
    <row r="33" spans="10:34" ht="30" hidden="1" customHeight="1">
      <c r="J33">
        <v>0</v>
      </c>
      <c r="P33">
        <v>0</v>
      </c>
      <c r="V33">
        <v>0</v>
      </c>
      <c r="AB33">
        <v>0</v>
      </c>
      <c r="AH33">
        <v>0</v>
      </c>
    </row>
    <row r="34" spans="10:34" ht="30" hidden="1" customHeight="1">
      <c r="J34">
        <v>0</v>
      </c>
      <c r="P34">
        <v>0</v>
      </c>
      <c r="V34">
        <v>0</v>
      </c>
      <c r="AB34">
        <v>0</v>
      </c>
      <c r="AH34">
        <v>0</v>
      </c>
    </row>
    <row r="35" spans="10:34" ht="30" hidden="1" customHeight="1">
      <c r="J35">
        <v>0</v>
      </c>
      <c r="P35">
        <v>0</v>
      </c>
      <c r="V35">
        <v>0</v>
      </c>
      <c r="AB35">
        <v>0</v>
      </c>
      <c r="AH35">
        <v>0</v>
      </c>
    </row>
    <row r="36" spans="10:34" ht="30" hidden="1" customHeight="1">
      <c r="J36">
        <v>0</v>
      </c>
      <c r="P36">
        <v>0</v>
      </c>
      <c r="V36">
        <v>0</v>
      </c>
      <c r="AB36">
        <v>0</v>
      </c>
      <c r="AH36">
        <v>0</v>
      </c>
    </row>
    <row r="37" spans="10:34" ht="30" hidden="1" customHeight="1">
      <c r="J37">
        <v>0</v>
      </c>
      <c r="P37">
        <v>0</v>
      </c>
      <c r="V37">
        <v>0</v>
      </c>
      <c r="AB37">
        <v>0</v>
      </c>
      <c r="AH37">
        <v>0</v>
      </c>
    </row>
    <row r="38" spans="10:34" ht="30" hidden="1" customHeight="1">
      <c r="J38">
        <v>0</v>
      </c>
      <c r="P38">
        <v>0</v>
      </c>
      <c r="V38">
        <v>0</v>
      </c>
      <c r="AB38">
        <v>0</v>
      </c>
      <c r="AH38">
        <v>0</v>
      </c>
    </row>
    <row r="39" spans="10:34" ht="30" hidden="1" customHeight="1">
      <c r="J39">
        <v>0</v>
      </c>
      <c r="P39">
        <v>0</v>
      </c>
      <c r="V39">
        <v>0</v>
      </c>
      <c r="AB39">
        <v>0</v>
      </c>
      <c r="AH39">
        <v>0</v>
      </c>
    </row>
  </sheetData>
  <mergeCells count="12">
    <mergeCell ref="A8:H8"/>
    <mergeCell ref="I8:N8"/>
    <mergeCell ref="J21:M30"/>
    <mergeCell ref="O8:T8"/>
    <mergeCell ref="P21:S30"/>
    <mergeCell ref="U8:Z8"/>
    <mergeCell ref="V21:Y30"/>
    <mergeCell ref="AA8:AF8"/>
    <mergeCell ref="AB21:AE30"/>
    <mergeCell ref="AG8:AL8"/>
    <mergeCell ref="AH21:AK30"/>
    <mergeCell ref="D1:H1"/>
  </mergeCells>
  <conditionalFormatting sqref="AA10">
    <cfRule type="cellIs" dxfId="0" priority="91" operator="lessThan">
      <formula>F10</formula>
    </cfRule>
  </conditionalFormatting>
  <conditionalFormatting sqref="AA11">
    <cfRule type="cellIs" dxfId="0" priority="99" operator="lessThan">
      <formula>F11</formula>
    </cfRule>
  </conditionalFormatting>
  <conditionalFormatting sqref="AA12">
    <cfRule type="cellIs" dxfId="0" priority="103" operator="lessThan">
      <formula>F12</formula>
    </cfRule>
  </conditionalFormatting>
  <conditionalFormatting sqref="AA14">
    <cfRule type="cellIs" dxfId="0" priority="107" operator="lessThan">
      <formula>F14</formula>
    </cfRule>
  </conditionalFormatting>
  <conditionalFormatting sqref="AA16">
    <cfRule type="cellIs" dxfId="0" priority="111" operator="lessThan">
      <formula>F16</formula>
    </cfRule>
  </conditionalFormatting>
  <conditionalFormatting sqref="AA17">
    <cfRule type="cellIs" dxfId="0" priority="115" operator="lessThan">
      <formula>F17</formula>
    </cfRule>
  </conditionalFormatting>
  <conditionalFormatting sqref="AA18">
    <cfRule type="cellIs" dxfId="0" priority="119" operator="lessThan">
      <formula>F18</formula>
    </cfRule>
  </conditionalFormatting>
  <conditionalFormatting sqref="AB10">
    <cfRule type="expression" dxfId="1" priority="92">
      <formula>AND(AB10&gt;0,MOD(AB10,AD10)&lt;&gt;0)</formula>
    </cfRule>
    <cfRule type="expression" dxfId="2" priority="93">
      <formula>AND(NOT(ISBLANK(AB10)),OR(AA10="NonStk",AB10&gt;AA10))</formula>
    </cfRule>
  </conditionalFormatting>
  <conditionalFormatting sqref="AB11">
    <cfRule type="expression" dxfId="2" priority="100">
      <formula>AND(NOT(ISBLANK(AB11)),OR(AA11="NonStk",AB11&gt;AA11))</formula>
    </cfRule>
  </conditionalFormatting>
  <conditionalFormatting sqref="AB12">
    <cfRule type="expression" dxfId="2" priority="104">
      <formula>AND(NOT(ISBLANK(AB12)),OR(AA12="NonStk",AB12&gt;AA12))</formula>
    </cfRule>
  </conditionalFormatting>
  <conditionalFormatting sqref="AB14">
    <cfRule type="expression" dxfId="2" priority="108">
      <formula>AND(NOT(ISBLANK(AB14)),OR(AA14="NonStk",AB14&gt;AA14))</formula>
    </cfRule>
  </conditionalFormatting>
  <conditionalFormatting sqref="AB16">
    <cfRule type="expression" dxfId="2" priority="112">
      <formula>AND(NOT(ISBLANK(AB16)),OR(AA16="NonStk",AB16&gt;AA16))</formula>
    </cfRule>
  </conditionalFormatting>
  <conditionalFormatting sqref="AB17">
    <cfRule type="expression" dxfId="2" priority="116">
      <formula>AND(NOT(ISBLANK(AB17)),OR(AA17="NonStk",AB17&gt;AA17))</formula>
    </cfRule>
  </conditionalFormatting>
  <conditionalFormatting sqref="AB18">
    <cfRule type="expression" dxfId="2" priority="120">
      <formula>AND(NOT(ISBLANK(AB18)),OR(AA18="NonStk",AB18&gt;AA18))</formula>
    </cfRule>
  </conditionalFormatting>
  <conditionalFormatting sqref="AC10">
    <cfRule type="cellIs" dxfId="3" priority="95" operator="lessThanOrEqual">
      <formula>G10</formula>
    </cfRule>
    <cfRule type="expression" dxfId="1" priority="96">
      <formula>AND(F10&lt;4000,AB10&lt;4000)</formula>
    </cfRule>
  </conditionalFormatting>
  <conditionalFormatting sqref="AC11">
    <cfRule type="cellIs" dxfId="3" priority="102" operator="lessThanOrEqual">
      <formula>G11</formula>
    </cfRule>
  </conditionalFormatting>
  <conditionalFormatting sqref="AC12">
    <cfRule type="cellIs" dxfId="3" priority="106" operator="lessThanOrEqual">
      <formula>G12</formula>
    </cfRule>
  </conditionalFormatting>
  <conditionalFormatting sqref="AC14">
    <cfRule type="cellIs" dxfId="3" priority="110" operator="lessThanOrEqual">
      <formula>G14</formula>
    </cfRule>
  </conditionalFormatting>
  <conditionalFormatting sqref="AC16">
    <cfRule type="cellIs" dxfId="3" priority="114" operator="lessThanOrEqual">
      <formula>G16</formula>
    </cfRule>
  </conditionalFormatting>
  <conditionalFormatting sqref="AC17">
    <cfRule type="cellIs" dxfId="3" priority="118" operator="lessThanOrEqual">
      <formula>G17</formula>
    </cfRule>
  </conditionalFormatting>
  <conditionalFormatting sqref="AC18">
    <cfRule type="cellIs" dxfId="3" priority="122" operator="lessThanOrEqual">
      <formula>G18</formula>
    </cfRule>
  </conditionalFormatting>
  <conditionalFormatting sqref="AD10">
    <cfRule type="expression" dxfId="1" priority="97">
      <formula>AND(F10&lt;4000,AB10&lt;4000)</formula>
    </cfRule>
  </conditionalFormatting>
  <conditionalFormatting sqref="AE10">
    <cfRule type="cellIs" dxfId="3" priority="94" operator="lessThanOrEqual">
      <formula>H10</formula>
    </cfRule>
    <cfRule type="expression" dxfId="1" priority="98">
      <formula>AND(F10&lt;4000,AB10&lt;4000)</formula>
    </cfRule>
  </conditionalFormatting>
  <conditionalFormatting sqref="AE11">
    <cfRule type="cellIs" dxfId="3" priority="101" operator="lessThanOrEqual">
      <formula>H11</formula>
    </cfRule>
  </conditionalFormatting>
  <conditionalFormatting sqref="AE12">
    <cfRule type="cellIs" dxfId="3" priority="105" operator="lessThanOrEqual">
      <formula>H12</formula>
    </cfRule>
  </conditionalFormatting>
  <conditionalFormatting sqref="AE14">
    <cfRule type="cellIs" dxfId="3" priority="109" operator="lessThanOrEqual">
      <formula>H14</formula>
    </cfRule>
  </conditionalFormatting>
  <conditionalFormatting sqref="AE16">
    <cfRule type="cellIs" dxfId="3" priority="113" operator="lessThanOrEqual">
      <formula>H16</formula>
    </cfRule>
  </conditionalFormatting>
  <conditionalFormatting sqref="AE17">
    <cfRule type="cellIs" dxfId="3" priority="117" operator="lessThanOrEqual">
      <formula>H17</formula>
    </cfRule>
  </conditionalFormatting>
  <conditionalFormatting sqref="AE18">
    <cfRule type="cellIs" dxfId="3" priority="121" operator="lessThanOrEqual">
      <formula>H18</formula>
    </cfRule>
  </conditionalFormatting>
  <conditionalFormatting sqref="AG10">
    <cfRule type="cellIs" dxfId="0" priority="123" operator="lessThan">
      <formula>F10</formula>
    </cfRule>
  </conditionalFormatting>
  <conditionalFormatting sqref="AG11">
    <cfRule type="cellIs" dxfId="0" priority="128" operator="lessThan">
      <formula>F11</formula>
    </cfRule>
  </conditionalFormatting>
  <conditionalFormatting sqref="AG12">
    <cfRule type="cellIs" dxfId="0" priority="133" operator="lessThan">
      <formula>F12</formula>
    </cfRule>
  </conditionalFormatting>
  <conditionalFormatting sqref="AG13">
    <cfRule type="cellIs" dxfId="0" priority="138" operator="lessThan">
      <formula>F13</formula>
    </cfRule>
  </conditionalFormatting>
  <conditionalFormatting sqref="AG14">
    <cfRule type="cellIs" dxfId="0" priority="146" operator="lessThan">
      <formula>F14</formula>
    </cfRule>
  </conditionalFormatting>
  <conditionalFormatting sqref="AG15">
    <cfRule type="cellIs" dxfId="0" priority="150" operator="lessThan">
      <formula>F15</formula>
    </cfRule>
  </conditionalFormatting>
  <conditionalFormatting sqref="AG16">
    <cfRule type="cellIs" dxfId="0" priority="155" operator="lessThan">
      <formula>F16</formula>
    </cfRule>
  </conditionalFormatting>
  <conditionalFormatting sqref="AG17">
    <cfRule type="cellIs" dxfId="0" priority="160" operator="lessThan">
      <formula>F17</formula>
    </cfRule>
  </conditionalFormatting>
  <conditionalFormatting sqref="AG18">
    <cfRule type="cellIs" dxfId="0" priority="165" operator="lessThan">
      <formula>F18</formula>
    </cfRule>
  </conditionalFormatting>
  <conditionalFormatting sqref="AH10">
    <cfRule type="expression" dxfId="1" priority="124">
      <formula>AND(AH10&gt;0,MOD(AH10,AJ10)&lt;&gt;0)</formula>
    </cfRule>
    <cfRule type="expression" dxfId="2" priority="125">
      <formula>AND(NOT(ISBLANK(AH10)),OR(AG10="NonStk",AH10&gt;AG10))</formula>
    </cfRule>
  </conditionalFormatting>
  <conditionalFormatting sqref="AH11">
    <cfRule type="expression" dxfId="1" priority="129">
      <formula>AND(AH11&gt;0,MOD(AH11,AJ11)&lt;&gt;0)</formula>
    </cfRule>
    <cfRule type="expression" dxfId="2" priority="130">
      <formula>AND(NOT(ISBLANK(AH11)),OR(AG11="NonStk",AH11&gt;AG11))</formula>
    </cfRule>
  </conditionalFormatting>
  <conditionalFormatting sqref="AH12">
    <cfRule type="expression" dxfId="1" priority="134">
      <formula>AND(AH12&gt;0,MOD(AH12,AJ12)&lt;&gt;0)</formula>
    </cfRule>
    <cfRule type="expression" dxfId="2" priority="135">
      <formula>AND(NOT(ISBLANK(AH12)),OR(AG12="NonStk",AH12&gt;AG12))</formula>
    </cfRule>
  </conditionalFormatting>
  <conditionalFormatting sqref="AH13">
    <cfRule type="expression" dxfId="1" priority="139">
      <formula>AND(AH13&gt;0,MOD(AH13,AJ13)&lt;&gt;0)</formula>
    </cfRule>
    <cfRule type="expression" dxfId="2" priority="140">
      <formula>AND(NOT(ISBLANK(AH13)),OR(AG13="NonStk",AH13&gt;AG13))</formula>
    </cfRule>
  </conditionalFormatting>
  <conditionalFormatting sqref="AH14">
    <cfRule type="expression" dxfId="2" priority="147">
      <formula>AND(NOT(ISBLANK(AH14)),OR(AG14="NonStk",AH14&gt;AG14))</formula>
    </cfRule>
  </conditionalFormatting>
  <conditionalFormatting sqref="AH15">
    <cfRule type="expression" dxfId="1" priority="151">
      <formula>AND(AH15&gt;0,MOD(AH15,AJ15)&lt;&gt;0)</formula>
    </cfRule>
    <cfRule type="expression" dxfId="2" priority="152">
      <formula>AND(NOT(ISBLANK(AH15)),OR(AG15="NonStk",AH15&gt;AG15))</formula>
    </cfRule>
  </conditionalFormatting>
  <conditionalFormatting sqref="AH16">
    <cfRule type="expression" dxfId="1" priority="156">
      <formula>AND(AH16&gt;0,MOD(AH16,AJ16)&lt;&gt;0)</formula>
    </cfRule>
    <cfRule type="expression" dxfId="2" priority="157">
      <formula>AND(NOT(ISBLANK(AH16)),OR(AG16="NonStk",AH16&gt;AG16))</formula>
    </cfRule>
  </conditionalFormatting>
  <conditionalFormatting sqref="AH17">
    <cfRule type="expression" dxfId="1" priority="161">
      <formula>AND(AH17&gt;0,MOD(AH17,AJ17)&lt;&gt;0)</formula>
    </cfRule>
    <cfRule type="expression" dxfId="2" priority="162">
      <formula>AND(NOT(ISBLANK(AH17)),OR(AG17="NonStk",AH17&gt;AG17))</formula>
    </cfRule>
  </conditionalFormatting>
  <conditionalFormatting sqref="AH18">
    <cfRule type="expression" dxfId="2" priority="166">
      <formula>AND(NOT(ISBLANK(AH18)),OR(AG18="NonStk",AH18&gt;AG18))</formula>
    </cfRule>
  </conditionalFormatting>
  <conditionalFormatting sqref="AI10">
    <cfRule type="cellIs" dxfId="3" priority="127" operator="lessThanOrEqual">
      <formula>G10</formula>
    </cfRule>
  </conditionalFormatting>
  <conditionalFormatting sqref="AI11">
    <cfRule type="cellIs" dxfId="3" priority="132" operator="lessThanOrEqual">
      <formula>G11</formula>
    </cfRule>
  </conditionalFormatting>
  <conditionalFormatting sqref="AI12">
    <cfRule type="cellIs" dxfId="3" priority="137" operator="lessThanOrEqual">
      <formula>G12</formula>
    </cfRule>
  </conditionalFormatting>
  <conditionalFormatting sqref="AI13">
    <cfRule type="cellIs" dxfId="3" priority="142" operator="lessThanOrEqual">
      <formula>G13</formula>
    </cfRule>
    <cfRule type="expression" dxfId="1" priority="143">
      <formula>AND(F13&lt;100,AH13&lt;100)</formula>
    </cfRule>
  </conditionalFormatting>
  <conditionalFormatting sqref="AI14">
    <cfRule type="cellIs" dxfId="3" priority="149" operator="lessThanOrEqual">
      <formula>G14</formula>
    </cfRule>
  </conditionalFormatting>
  <conditionalFormatting sqref="AI15">
    <cfRule type="cellIs" dxfId="3" priority="154" operator="lessThanOrEqual">
      <formula>G15</formula>
    </cfRule>
  </conditionalFormatting>
  <conditionalFormatting sqref="AI16">
    <cfRule type="cellIs" dxfId="3" priority="159" operator="lessThanOrEqual">
      <formula>G16</formula>
    </cfRule>
  </conditionalFormatting>
  <conditionalFormatting sqref="AI17">
    <cfRule type="cellIs" dxfId="3" priority="164" operator="lessThanOrEqual">
      <formula>G17</formula>
    </cfRule>
  </conditionalFormatting>
  <conditionalFormatting sqref="AI18">
    <cfRule type="cellIs" dxfId="3" priority="168" operator="lessThanOrEqual">
      <formula>G18</formula>
    </cfRule>
  </conditionalFormatting>
  <conditionalFormatting sqref="AJ13">
    <cfRule type="expression" dxfId="1" priority="144">
      <formula>AND(F13&lt;100,AH13&lt;100)</formula>
    </cfRule>
  </conditionalFormatting>
  <conditionalFormatting sqref="AK10">
    <cfRule type="cellIs" dxfId="3" priority="126" operator="lessThanOrEqual">
      <formula>H10</formula>
    </cfRule>
  </conditionalFormatting>
  <conditionalFormatting sqref="AK11">
    <cfRule type="cellIs" dxfId="3" priority="131" operator="lessThanOrEqual">
      <formula>H11</formula>
    </cfRule>
  </conditionalFormatting>
  <conditionalFormatting sqref="AK12">
    <cfRule type="cellIs" dxfId="3" priority="136" operator="lessThanOrEqual">
      <formula>H12</formula>
    </cfRule>
  </conditionalFormatting>
  <conditionalFormatting sqref="AK13">
    <cfRule type="cellIs" dxfId="3" priority="141" operator="lessThanOrEqual">
      <formula>H13</formula>
    </cfRule>
    <cfRule type="expression" dxfId="1" priority="145">
      <formula>AND(F13&lt;100,AH13&lt;100)</formula>
    </cfRule>
  </conditionalFormatting>
  <conditionalFormatting sqref="AK14">
    <cfRule type="cellIs" dxfId="3" priority="148" operator="lessThanOrEqual">
      <formula>H14</formula>
    </cfRule>
  </conditionalFormatting>
  <conditionalFormatting sqref="AK15">
    <cfRule type="cellIs" dxfId="3" priority="153" operator="lessThanOrEqual">
      <formula>H15</formula>
    </cfRule>
  </conditionalFormatting>
  <conditionalFormatting sqref="AK16">
    <cfRule type="cellIs" dxfId="3" priority="158" operator="lessThanOrEqual">
      <formula>H16</formula>
    </cfRule>
  </conditionalFormatting>
  <conditionalFormatting sqref="AK17">
    <cfRule type="cellIs" dxfId="3" priority="163" operator="lessThanOrEqual">
      <formula>H17</formula>
    </cfRule>
  </conditionalFormatting>
  <conditionalFormatting sqref="AK18">
    <cfRule type="cellIs" dxfId="3" priority="167" operator="lessThanOrEqual">
      <formula>H18</formula>
    </cfRule>
  </conditionalFormatting>
  <conditionalFormatting sqref="F10">
    <cfRule type="expression" dxfId="4" priority="169">
      <formula>AND(ISBLANK(E10),ISBLANK(AE10),ISBLANK(S10),ISBLANK(AK10),ISBLANK(M10),ISBLANK(Y10))</formula>
    </cfRule>
    <cfRule type="expression" dxfId="5" priority="170">
      <formula>IF(SUM(AA10,O10,AG10,I10,U10)=0,1,0)</formula>
    </cfRule>
    <cfRule type="cellIs" dxfId="0" priority="171" operator="greaterThan">
      <formula>SUM(AA10,O10,AG10,I10,U10)</formula>
    </cfRule>
    <cfRule type="cellIs" dxfId="6" priority="172" operator="greaterThan">
      <formula>SUM(IF(ISNUMBER(AC10),AB10,0),IF(ISNUMBER(Q10),P10,0),IF(ISNUMBER(AI10),AH10,0),IF(ISNUMBER(K10),J10,0),IF(ISNUMBER(W10),V10,0))</formula>
    </cfRule>
  </conditionalFormatting>
  <conditionalFormatting sqref="F11">
    <cfRule type="expression" dxfId="4" priority="173">
      <formula>AND(ISBLANK(E11),ISBLANK(AE11),ISBLANK(S11),ISBLANK(AK11),ISBLANK(M11),ISBLANK(Y11))</formula>
    </cfRule>
    <cfRule type="expression" dxfId="5" priority="174">
      <formula>IF(SUM(AA11,O11,AG11,I11,U11)=0,1,0)</formula>
    </cfRule>
    <cfRule type="cellIs" dxfId="0" priority="175" operator="greaterThan">
      <formula>SUM(AA11,O11,AG11,I11,U11)</formula>
    </cfRule>
    <cfRule type="cellIs" dxfId="6" priority="176" operator="greaterThan">
      <formula>SUM(IF(ISNUMBER(AC11),AB11,0),IF(ISNUMBER(Q11),P11,0),IF(ISNUMBER(AI11),AH11,0),IF(ISNUMBER(K11),J11,0),IF(ISNUMBER(W11),V11,0))</formula>
    </cfRule>
  </conditionalFormatting>
  <conditionalFormatting sqref="F12">
    <cfRule type="expression" dxfId="4" priority="177">
      <formula>AND(ISBLANK(E12),ISBLANK(AE12),ISBLANK(S12),ISBLANK(AK12),ISBLANK(M12),ISBLANK(Y12))</formula>
    </cfRule>
    <cfRule type="expression" dxfId="5" priority="178">
      <formula>IF(SUM(AA12,O12,AG12,I12,U12)=0,1,0)</formula>
    </cfRule>
    <cfRule type="cellIs" dxfId="0" priority="179" operator="greaterThan">
      <formula>SUM(AA12,O12,AG12,I12,U12)</formula>
    </cfRule>
    <cfRule type="cellIs" dxfId="6" priority="180" operator="greaterThan">
      <formula>SUM(IF(ISNUMBER(AC12),AB12,0),IF(ISNUMBER(Q12),P12,0),IF(ISNUMBER(AI12),AH12,0),IF(ISNUMBER(K12),J12,0),IF(ISNUMBER(W12),V12,0))</formula>
    </cfRule>
  </conditionalFormatting>
  <conditionalFormatting sqref="F13">
    <cfRule type="expression" dxfId="4" priority="181">
      <formula>AND(ISBLANK(E13),ISBLANK(AE13),ISBLANK(S13),ISBLANK(AK13),ISBLANK(M13),ISBLANK(Y13))</formula>
    </cfRule>
    <cfRule type="expression" dxfId="5" priority="182">
      <formula>IF(SUM(AA13,O13,AG13,I13,U13)=0,1,0)</formula>
    </cfRule>
    <cfRule type="cellIs" dxfId="0" priority="183" operator="greaterThan">
      <formula>SUM(AA13,O13,AG13,I13,U13)</formula>
    </cfRule>
    <cfRule type="cellIs" dxfId="6" priority="184" operator="greaterThan">
      <formula>SUM(IF(ISNUMBER(AC13),AB13,0),IF(ISNUMBER(Q13),P13,0),IF(ISNUMBER(AI13),AH13,0),IF(ISNUMBER(K13),J13,0),IF(ISNUMBER(W13),V13,0))</formula>
    </cfRule>
  </conditionalFormatting>
  <conditionalFormatting sqref="F14">
    <cfRule type="expression" dxfId="4" priority="185">
      <formula>AND(ISBLANK(E14),ISBLANK(AE14),ISBLANK(S14),ISBLANK(AK14),ISBLANK(M14),ISBLANK(Y14))</formula>
    </cfRule>
    <cfRule type="expression" dxfId="5" priority="186">
      <formula>IF(SUM(AA14,O14,AG14,I14,U14)=0,1,0)</formula>
    </cfRule>
    <cfRule type="cellIs" dxfId="0" priority="187" operator="greaterThan">
      <formula>SUM(AA14,O14,AG14,I14,U14)</formula>
    </cfRule>
    <cfRule type="cellIs" dxfId="6" priority="188" operator="greaterThan">
      <formula>SUM(IF(ISNUMBER(AC14),AB14,0),IF(ISNUMBER(Q14),P14,0),IF(ISNUMBER(AI14),AH14,0),IF(ISNUMBER(K14),J14,0),IF(ISNUMBER(W14),V14,0))</formula>
    </cfRule>
  </conditionalFormatting>
  <conditionalFormatting sqref="F15">
    <cfRule type="expression" dxfId="4" priority="189">
      <formula>AND(ISBLANK(E15),ISBLANK(AE15),ISBLANK(S15),ISBLANK(AK15),ISBLANK(M15),ISBLANK(Y15))</formula>
    </cfRule>
    <cfRule type="expression" dxfId="5" priority="190">
      <formula>IF(SUM(AA15,O15,AG15,I15,U15)=0,1,0)</formula>
    </cfRule>
    <cfRule type="cellIs" dxfId="0" priority="191" operator="greaterThan">
      <formula>SUM(AA15,O15,AG15,I15,U15)</formula>
    </cfRule>
    <cfRule type="cellIs" dxfId="6" priority="192" operator="greaterThan">
      <formula>SUM(IF(ISNUMBER(AC15),AB15,0),IF(ISNUMBER(Q15),P15,0),IF(ISNUMBER(AI15),AH15,0),IF(ISNUMBER(K15),J15,0),IF(ISNUMBER(W15),V15,0))</formula>
    </cfRule>
  </conditionalFormatting>
  <conditionalFormatting sqref="F16">
    <cfRule type="expression" dxfId="4" priority="193">
      <formula>AND(ISBLANK(E16),ISBLANK(AE16),ISBLANK(S16),ISBLANK(AK16),ISBLANK(M16),ISBLANK(Y16))</formula>
    </cfRule>
    <cfRule type="expression" dxfId="5" priority="194">
      <formula>IF(SUM(AA16,O16,AG16,I16,U16)=0,1,0)</formula>
    </cfRule>
    <cfRule type="cellIs" dxfId="0" priority="195" operator="greaterThan">
      <formula>SUM(AA16,O16,AG16,I16,U16)</formula>
    </cfRule>
    <cfRule type="cellIs" dxfId="6" priority="196" operator="greaterThan">
      <formula>SUM(IF(ISNUMBER(AC16),AB16,0),IF(ISNUMBER(Q16),P16,0),IF(ISNUMBER(AI16),AH16,0),IF(ISNUMBER(K16),J16,0),IF(ISNUMBER(W16),V16,0))</formula>
    </cfRule>
  </conditionalFormatting>
  <conditionalFormatting sqref="F17">
    <cfRule type="expression" dxfId="4" priority="197">
      <formula>AND(ISBLANK(E17),ISBLANK(AE17),ISBLANK(S17),ISBLANK(AK17),ISBLANK(M17),ISBLANK(Y17))</formula>
    </cfRule>
    <cfRule type="expression" dxfId="5" priority="198">
      <formula>IF(SUM(AA17,O17,AG17,I17,U17)=0,1,0)</formula>
    </cfRule>
    <cfRule type="cellIs" dxfId="0" priority="199" operator="greaterThan">
      <formula>SUM(AA17,O17,AG17,I17,U17)</formula>
    </cfRule>
    <cfRule type="cellIs" dxfId="6" priority="200" operator="greaterThan">
      <formula>SUM(IF(ISNUMBER(AC17),AB17,0),IF(ISNUMBER(Q17),P17,0),IF(ISNUMBER(AI17),AH17,0),IF(ISNUMBER(K17),J17,0),IF(ISNUMBER(W17),V17,0))</formula>
    </cfRule>
  </conditionalFormatting>
  <conditionalFormatting sqref="F18">
    <cfRule type="expression" dxfId="4" priority="201">
      <formula>AND(ISBLANK(E18),ISBLANK(AE18),ISBLANK(S18),ISBLANK(AK18),ISBLANK(M18),ISBLANK(Y18))</formula>
    </cfRule>
    <cfRule type="expression" dxfId="5" priority="202">
      <formula>IF(SUM(AA18,O18,AG18,I18,U18)=0,1,0)</formula>
    </cfRule>
    <cfRule type="cellIs" dxfId="0" priority="203" operator="greaterThan">
      <formula>SUM(AA18,O18,AG18,I18,U18)</formula>
    </cfRule>
    <cfRule type="cellIs" dxfId="6" priority="204" operator="greaterThan">
      <formula>SUM(IF(ISNUMBER(AC18),AB18,0),IF(ISNUMBER(Q18),P18,0),IF(ISNUMBER(AI18),AH18,0),IF(ISNUMBER(K18),J18,0),IF(ISNUMBER(W18),V18,0))</formula>
    </cfRule>
  </conditionalFormatting>
  <conditionalFormatting sqref="I11">
    <cfRule type="cellIs" dxfId="0" priority="1" operator="lessThan">
      <formula>F11</formula>
    </cfRule>
  </conditionalFormatting>
  <conditionalFormatting sqref="I12">
    <cfRule type="cellIs" dxfId="0" priority="5" operator="lessThan">
      <formula>F12</formula>
    </cfRule>
  </conditionalFormatting>
  <conditionalFormatting sqref="I13">
    <cfRule type="cellIs" dxfId="0" priority="9" operator="lessThan">
      <formula>F13</formula>
    </cfRule>
  </conditionalFormatting>
  <conditionalFormatting sqref="I14">
    <cfRule type="cellIs" dxfId="0" priority="13" operator="lessThan">
      <formula>F14</formula>
    </cfRule>
  </conditionalFormatting>
  <conditionalFormatting sqref="I15">
    <cfRule type="cellIs" dxfId="0" priority="17" operator="lessThan">
      <formula>F15</formula>
    </cfRule>
  </conditionalFormatting>
  <conditionalFormatting sqref="I16">
    <cfRule type="cellIs" dxfId="0" priority="21" operator="lessThan">
      <formula>F16</formula>
    </cfRule>
  </conditionalFormatting>
  <conditionalFormatting sqref="I17">
    <cfRule type="cellIs" dxfId="0" priority="25" operator="lessThan">
      <formula>F17</formula>
    </cfRule>
  </conditionalFormatting>
  <conditionalFormatting sqref="I18">
    <cfRule type="cellIs" dxfId="0" priority="29" operator="lessThan">
      <formula>F18</formula>
    </cfRule>
  </conditionalFormatting>
  <conditionalFormatting sqref="J11">
    <cfRule type="expression" dxfId="2" priority="2">
      <formula>AND(NOT(ISBLANK(J11)),OR(I11="NonStk",J11&gt;I11))</formula>
    </cfRule>
  </conditionalFormatting>
  <conditionalFormatting sqref="J12">
    <cfRule type="expression" dxfId="2" priority="6">
      <formula>AND(NOT(ISBLANK(J12)),OR(I12="NonStk",J12&gt;I12))</formula>
    </cfRule>
  </conditionalFormatting>
  <conditionalFormatting sqref="J13">
    <cfRule type="expression" dxfId="2" priority="10">
      <formula>AND(NOT(ISBLANK(J13)),OR(I13="NonStk",J13&gt;I13))</formula>
    </cfRule>
  </conditionalFormatting>
  <conditionalFormatting sqref="J14">
    <cfRule type="expression" dxfId="2" priority="14">
      <formula>AND(NOT(ISBLANK(J14)),OR(I14="NonStk",J14&gt;I14))</formula>
    </cfRule>
  </conditionalFormatting>
  <conditionalFormatting sqref="J15">
    <cfRule type="expression" dxfId="2" priority="18">
      <formula>AND(NOT(ISBLANK(J15)),OR(I15="NonStk",J15&gt;I15))</formula>
    </cfRule>
  </conditionalFormatting>
  <conditionalFormatting sqref="J16">
    <cfRule type="expression" dxfId="2" priority="22">
      <formula>AND(NOT(ISBLANK(J16)),OR(I16="NonStk",J16&gt;I16))</formula>
    </cfRule>
  </conditionalFormatting>
  <conditionalFormatting sqref="J17">
    <cfRule type="expression" dxfId="2" priority="26">
      <formula>AND(NOT(ISBLANK(J17)),OR(I17="NonStk",J17&gt;I17))</formula>
    </cfRule>
  </conditionalFormatting>
  <conditionalFormatting sqref="J18">
    <cfRule type="expression" dxfId="2" priority="30">
      <formula>AND(NOT(ISBLANK(J18)),OR(I18="NonStk",J18&gt;I18))</formula>
    </cfRule>
  </conditionalFormatting>
  <conditionalFormatting sqref="K11">
    <cfRule type="cellIs" dxfId="3" priority="4" operator="lessThanOrEqual">
      <formula>G11</formula>
    </cfRule>
  </conditionalFormatting>
  <conditionalFormatting sqref="K12">
    <cfRule type="cellIs" dxfId="3" priority="8" operator="lessThanOrEqual">
      <formula>G12</formula>
    </cfRule>
  </conditionalFormatting>
  <conditionalFormatting sqref="K13">
    <cfRule type="cellIs" dxfId="3" priority="12" operator="lessThanOrEqual">
      <formula>G13</formula>
    </cfRule>
  </conditionalFormatting>
  <conditionalFormatting sqref="K14">
    <cfRule type="cellIs" dxfId="3" priority="16" operator="lessThanOrEqual">
      <formula>G14</formula>
    </cfRule>
  </conditionalFormatting>
  <conditionalFormatting sqref="K15">
    <cfRule type="cellIs" dxfId="3" priority="20" operator="lessThanOrEqual">
      <formula>G15</formula>
    </cfRule>
  </conditionalFormatting>
  <conditionalFormatting sqref="K16">
    <cfRule type="cellIs" dxfId="3" priority="24" operator="lessThanOrEqual">
      <formula>G16</formula>
    </cfRule>
  </conditionalFormatting>
  <conditionalFormatting sqref="K17">
    <cfRule type="cellIs" dxfId="3" priority="28" operator="lessThanOrEqual">
      <formula>G17</formula>
    </cfRule>
  </conditionalFormatting>
  <conditionalFormatting sqref="K18">
    <cfRule type="cellIs" dxfId="3" priority="32" operator="lessThanOrEqual">
      <formula>G18</formula>
    </cfRule>
  </conditionalFormatting>
  <conditionalFormatting sqref="M11">
    <cfRule type="cellIs" dxfId="3" priority="3" operator="lessThanOrEqual">
      <formula>H11</formula>
    </cfRule>
  </conditionalFormatting>
  <conditionalFormatting sqref="M12">
    <cfRule type="cellIs" dxfId="3" priority="7" operator="lessThanOrEqual">
      <formula>H12</formula>
    </cfRule>
  </conditionalFormatting>
  <conditionalFormatting sqref="M13">
    <cfRule type="cellIs" dxfId="3" priority="11" operator="lessThanOrEqual">
      <formula>H13</formula>
    </cfRule>
  </conditionalFormatting>
  <conditionalFormatting sqref="M14">
    <cfRule type="cellIs" dxfId="3" priority="15" operator="lessThanOrEqual">
      <formula>H14</formula>
    </cfRule>
  </conditionalFormatting>
  <conditionalFormatting sqref="M15">
    <cfRule type="cellIs" dxfId="3" priority="19" operator="lessThanOrEqual">
      <formula>H15</formula>
    </cfRule>
  </conditionalFormatting>
  <conditionalFormatting sqref="M16">
    <cfRule type="cellIs" dxfId="3" priority="23" operator="lessThanOrEqual">
      <formula>H16</formula>
    </cfRule>
  </conditionalFormatting>
  <conditionalFormatting sqref="M17">
    <cfRule type="cellIs" dxfId="3" priority="27" operator="lessThanOrEqual">
      <formula>H17</formula>
    </cfRule>
  </conditionalFormatting>
  <conditionalFormatting sqref="M18">
    <cfRule type="cellIs" dxfId="3" priority="31" operator="lessThanOrEqual">
      <formula>H18</formula>
    </cfRule>
  </conditionalFormatting>
  <conditionalFormatting sqref="O10">
    <cfRule type="cellIs" dxfId="0" priority="33" operator="lessThan">
      <formula>F10</formula>
    </cfRule>
  </conditionalFormatting>
  <conditionalFormatting sqref="O11">
    <cfRule type="cellIs" dxfId="0" priority="37" operator="lessThan">
      <formula>F11</formula>
    </cfRule>
  </conditionalFormatting>
  <conditionalFormatting sqref="O12">
    <cfRule type="cellIs" dxfId="0" priority="41" operator="lessThan">
      <formula>F12</formula>
    </cfRule>
  </conditionalFormatting>
  <conditionalFormatting sqref="O13">
    <cfRule type="cellIs" dxfId="0" priority="45" operator="lessThan">
      <formula>F13</formula>
    </cfRule>
  </conditionalFormatting>
  <conditionalFormatting sqref="O14">
    <cfRule type="cellIs" dxfId="0" priority="49" operator="lessThan">
      <formula>F14</formula>
    </cfRule>
  </conditionalFormatting>
  <conditionalFormatting sqref="O15">
    <cfRule type="cellIs" dxfId="0" priority="53" operator="lessThan">
      <formula>F15</formula>
    </cfRule>
  </conditionalFormatting>
  <conditionalFormatting sqref="O16">
    <cfRule type="cellIs" dxfId="0" priority="57" operator="lessThan">
      <formula>F16</formula>
    </cfRule>
  </conditionalFormatting>
  <conditionalFormatting sqref="O17">
    <cfRule type="cellIs" dxfId="0" priority="61" operator="lessThan">
      <formula>F17</formula>
    </cfRule>
  </conditionalFormatting>
  <conditionalFormatting sqref="O18">
    <cfRule type="cellIs" dxfId="0" priority="65" operator="lessThan">
      <formula>F18</formula>
    </cfRule>
  </conditionalFormatting>
  <conditionalFormatting sqref="P10">
    <cfRule type="expression" dxfId="2" priority="34">
      <formula>AND(NOT(ISBLANK(P10)),OR(O10="NonStk",P10&gt;O10))</formula>
    </cfRule>
  </conditionalFormatting>
  <conditionalFormatting sqref="P11">
    <cfRule type="expression" dxfId="2" priority="38">
      <formula>AND(NOT(ISBLANK(P11)),OR(O11="NonStk",P11&gt;O11))</formula>
    </cfRule>
  </conditionalFormatting>
  <conditionalFormatting sqref="P12">
    <cfRule type="expression" dxfId="2" priority="42">
      <formula>AND(NOT(ISBLANK(P12)),OR(O12="NonStk",P12&gt;O12))</formula>
    </cfRule>
  </conditionalFormatting>
  <conditionalFormatting sqref="P13">
    <cfRule type="expression" dxfId="2" priority="46">
      <formula>AND(NOT(ISBLANK(P13)),OR(O13="NonStk",P13&gt;O13))</formula>
    </cfRule>
  </conditionalFormatting>
  <conditionalFormatting sqref="P14">
    <cfRule type="expression" dxfId="2" priority="50">
      <formula>AND(NOT(ISBLANK(P14)),OR(O14="NonStk",P14&gt;O14))</formula>
    </cfRule>
  </conditionalFormatting>
  <conditionalFormatting sqref="P15">
    <cfRule type="expression" dxfId="2" priority="54">
      <formula>AND(NOT(ISBLANK(P15)),OR(O15="NonStk",P15&gt;O15))</formula>
    </cfRule>
  </conditionalFormatting>
  <conditionalFormatting sqref="P16">
    <cfRule type="expression" dxfId="2" priority="58">
      <formula>AND(NOT(ISBLANK(P16)),OR(O16="NonStk",P16&gt;O16))</formula>
    </cfRule>
  </conditionalFormatting>
  <conditionalFormatting sqref="P17">
    <cfRule type="expression" dxfId="2" priority="62">
      <formula>AND(NOT(ISBLANK(P17)),OR(O17="NonStk",P17&gt;O17))</formula>
    </cfRule>
  </conditionalFormatting>
  <conditionalFormatting sqref="P18">
    <cfRule type="expression" dxfId="2" priority="66">
      <formula>AND(NOT(ISBLANK(P18)),OR(O18="NonStk",P18&gt;O18))</formula>
    </cfRule>
  </conditionalFormatting>
  <conditionalFormatting sqref="Q10">
    <cfRule type="cellIs" dxfId="3" priority="36" operator="lessThanOrEqual">
      <formula>G10</formula>
    </cfRule>
  </conditionalFormatting>
  <conditionalFormatting sqref="Q11">
    <cfRule type="cellIs" dxfId="3" priority="40" operator="lessThanOrEqual">
      <formula>G11</formula>
    </cfRule>
  </conditionalFormatting>
  <conditionalFormatting sqref="Q12">
    <cfRule type="cellIs" dxfId="3" priority="44" operator="lessThanOrEqual">
      <formula>G12</formula>
    </cfRule>
  </conditionalFormatting>
  <conditionalFormatting sqref="Q13">
    <cfRule type="cellIs" dxfId="3" priority="48" operator="lessThanOrEqual">
      <formula>G13</formula>
    </cfRule>
  </conditionalFormatting>
  <conditionalFormatting sqref="Q14">
    <cfRule type="cellIs" dxfId="3" priority="52" operator="lessThanOrEqual">
      <formula>G14</formula>
    </cfRule>
  </conditionalFormatting>
  <conditionalFormatting sqref="Q15">
    <cfRule type="cellIs" dxfId="3" priority="56" operator="lessThanOrEqual">
      <formula>G15</formula>
    </cfRule>
  </conditionalFormatting>
  <conditionalFormatting sqref="Q16">
    <cfRule type="cellIs" dxfId="3" priority="60" operator="lessThanOrEqual">
      <formula>G16</formula>
    </cfRule>
  </conditionalFormatting>
  <conditionalFormatting sqref="Q17">
    <cfRule type="cellIs" dxfId="3" priority="64" operator="lessThanOrEqual">
      <formula>G17</formula>
    </cfRule>
  </conditionalFormatting>
  <conditionalFormatting sqref="Q18">
    <cfRule type="cellIs" dxfId="3" priority="68" operator="lessThanOrEqual">
      <formula>G18</formula>
    </cfRule>
  </conditionalFormatting>
  <conditionalFormatting sqref="S10">
    <cfRule type="cellIs" dxfId="3" priority="35" operator="lessThanOrEqual">
      <formula>H10</formula>
    </cfRule>
  </conditionalFormatting>
  <conditionalFormatting sqref="S11">
    <cfRule type="cellIs" dxfId="3" priority="39" operator="lessThanOrEqual">
      <formula>H11</formula>
    </cfRule>
  </conditionalFormatting>
  <conditionalFormatting sqref="S12">
    <cfRule type="cellIs" dxfId="3" priority="43" operator="lessThanOrEqual">
      <formula>H12</formula>
    </cfRule>
  </conditionalFormatting>
  <conditionalFormatting sqref="S13">
    <cfRule type="cellIs" dxfId="3" priority="47" operator="lessThanOrEqual">
      <formula>H13</formula>
    </cfRule>
  </conditionalFormatting>
  <conditionalFormatting sqref="S14">
    <cfRule type="cellIs" dxfId="3" priority="51" operator="lessThanOrEqual">
      <formula>H14</formula>
    </cfRule>
  </conditionalFormatting>
  <conditionalFormatting sqref="S15">
    <cfRule type="cellIs" dxfId="3" priority="55" operator="lessThanOrEqual">
      <formula>H15</formula>
    </cfRule>
  </conditionalFormatting>
  <conditionalFormatting sqref="S16">
    <cfRule type="cellIs" dxfId="3" priority="59" operator="lessThanOrEqual">
      <formula>H16</formula>
    </cfRule>
  </conditionalFormatting>
  <conditionalFormatting sqref="S17">
    <cfRule type="cellIs" dxfId="3" priority="63" operator="lessThanOrEqual">
      <formula>H17</formula>
    </cfRule>
  </conditionalFormatting>
  <conditionalFormatting sqref="S18">
    <cfRule type="cellIs" dxfId="3" priority="67" operator="lessThanOrEqual">
      <formula>H18</formula>
    </cfRule>
  </conditionalFormatting>
  <conditionalFormatting sqref="U10">
    <cfRule type="cellIs" dxfId="0" priority="69" operator="lessThan">
      <formula>F10</formula>
    </cfRule>
  </conditionalFormatting>
  <conditionalFormatting sqref="U11">
    <cfRule type="cellIs" dxfId="0" priority="74" operator="lessThan">
      <formula>F11</formula>
    </cfRule>
  </conditionalFormatting>
  <conditionalFormatting sqref="U12">
    <cfRule type="cellIs" dxfId="0" priority="79" operator="lessThan">
      <formula>F12</formula>
    </cfRule>
  </conditionalFormatting>
  <conditionalFormatting sqref="U14">
    <cfRule type="cellIs" dxfId="0" priority="87" operator="lessThan">
      <formula>F14</formula>
    </cfRule>
  </conditionalFormatting>
  <conditionalFormatting sqref="V10">
    <cfRule type="expression" dxfId="1" priority="70">
      <formula>AND(V10&gt;0,MOD(V10,X10)&lt;&gt;0)</formula>
    </cfRule>
    <cfRule type="expression" dxfId="2" priority="71">
      <formula>AND(NOT(ISBLANK(V10)),OR(U10="NonStk",V10&gt;U10))</formula>
    </cfRule>
  </conditionalFormatting>
  <conditionalFormatting sqref="V11">
    <cfRule type="expression" dxfId="1" priority="75">
      <formula>AND(V11&gt;0,MOD(V11,X11)&lt;&gt;0)</formula>
    </cfRule>
    <cfRule type="expression" dxfId="2" priority="76">
      <formula>AND(NOT(ISBLANK(V11)),OR(U11="NonStk",V11&gt;U11))</formula>
    </cfRule>
  </conditionalFormatting>
  <conditionalFormatting sqref="V12">
    <cfRule type="expression" dxfId="1" priority="80">
      <formula>AND(V12&gt;0,MOD(V12,X12)&lt;&gt;0)</formula>
    </cfRule>
    <cfRule type="expression" dxfId="2" priority="81">
      <formula>AND(NOT(ISBLANK(V12)),OR(U12="NonStk",V12&gt;U12))</formula>
    </cfRule>
  </conditionalFormatting>
  <conditionalFormatting sqref="V14">
    <cfRule type="expression" dxfId="2" priority="88">
      <formula>AND(NOT(ISBLANK(V14)),OR(U14="NonStk",V14&gt;U14))</formula>
    </cfRule>
  </conditionalFormatting>
  <conditionalFormatting sqref="W10">
    <cfRule type="cellIs" dxfId="3" priority="73" operator="lessThanOrEqual">
      <formula>G10</formula>
    </cfRule>
  </conditionalFormatting>
  <conditionalFormatting sqref="W11">
    <cfRule type="cellIs" dxfId="3" priority="78" operator="lessThanOrEqual">
      <formula>G11</formula>
    </cfRule>
  </conditionalFormatting>
  <conditionalFormatting sqref="W12">
    <cfRule type="cellIs" dxfId="3" priority="83" operator="lessThanOrEqual">
      <formula>G12</formula>
    </cfRule>
    <cfRule type="expression" dxfId="1" priority="84">
      <formula>AND(F12&lt;100,V12&lt;100)</formula>
    </cfRule>
  </conditionalFormatting>
  <conditionalFormatting sqref="W14">
    <cfRule type="cellIs" dxfId="3" priority="90" operator="lessThanOrEqual">
      <formula>G14</formula>
    </cfRule>
  </conditionalFormatting>
  <conditionalFormatting sqref="X12">
    <cfRule type="expression" dxfId="1" priority="85">
      <formula>AND(F12&lt;100,V12&lt;100)</formula>
    </cfRule>
  </conditionalFormatting>
  <conditionalFormatting sqref="Y10">
    <cfRule type="cellIs" dxfId="3" priority="72" operator="lessThanOrEqual">
      <formula>H10</formula>
    </cfRule>
  </conditionalFormatting>
  <conditionalFormatting sqref="Y11">
    <cfRule type="cellIs" dxfId="3" priority="77" operator="lessThanOrEqual">
      <formula>H11</formula>
    </cfRule>
  </conditionalFormatting>
  <conditionalFormatting sqref="Y12">
    <cfRule type="cellIs" dxfId="3" priority="82" operator="lessThanOrEqual">
      <formula>H12</formula>
    </cfRule>
    <cfRule type="expression" dxfId="1" priority="86">
      <formula>AND(F12&lt;100,V12&lt;100)</formula>
    </cfRule>
  </conditionalFormatting>
  <conditionalFormatting sqref="Y14">
    <cfRule type="cellIs" dxfId="3" priority="89" operator="lessThanOrEqual">
      <formula>H14</formula>
    </cfRule>
  </conditionalFormatting>
  <hyperlinks>
    <hyperlink ref="N10" r:id="rId1"/>
    <hyperlink ref="Z10" r:id="rId2"/>
    <hyperlink ref="AL10" r:id="rId3"/>
    <hyperlink ref="E11" r:id="rId4"/>
    <hyperlink ref="N11" r:id="rId5"/>
    <hyperlink ref="Z11" r:id="rId6"/>
    <hyperlink ref="AL11" r:id="rId7"/>
    <hyperlink ref="E12" r:id="rId8"/>
    <hyperlink ref="N12" r:id="rId9"/>
    <hyperlink ref="Z12" r:id="rId10"/>
    <hyperlink ref="AL12" r:id="rId11"/>
    <hyperlink ref="E13" r:id="rId12"/>
    <hyperlink ref="N13" r:id="rId13"/>
    <hyperlink ref="AL13" r:id="rId14"/>
    <hyperlink ref="E14" r:id="rId15"/>
    <hyperlink ref="N14" r:id="rId16"/>
    <hyperlink ref="Z14" r:id="rId17"/>
    <hyperlink ref="AL14" r:id="rId18"/>
    <hyperlink ref="N15" r:id="rId19"/>
    <hyperlink ref="AL15" r:id="rId20"/>
    <hyperlink ref="N16" r:id="rId21"/>
    <hyperlink ref="AL16" r:id="rId22"/>
    <hyperlink ref="E17" r:id="rId23"/>
    <hyperlink ref="N17" r:id="rId24"/>
    <hyperlink ref="AL17" r:id="rId25"/>
    <hyperlink ref="E18" r:id="rId26"/>
    <hyperlink ref="N18" r:id="rId27"/>
    <hyperlink ref="AL18" r:id="rId28"/>
    <hyperlink ref="I20" r:id="rId29"/>
    <hyperlink ref="O20" r:id="rId30"/>
    <hyperlink ref="U20" r:id="rId31"/>
    <hyperlink ref="AA20" r:id="rId32"/>
    <hyperlink ref="AG20" r:id="rId33"/>
  </hyperlinks>
  <pageMargins left="0.7" right="0.7" top="0.75" bottom="0.75" header="0.3" footer="0.3"/>
  <drawing r:id="rId34"/>
  <legacyDrawing r:id="rId3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W13"/>
  <sheetViews>
    <sheetView workbookViewId="0"/>
  </sheetViews>
  <sheetFormatPr defaultRowHeight="15"/>
  <cols>
    <col min="1" max="1" width="10.7109375" customWidth="1"/>
    <col min="2" max="2" width="19.7109375" customWidth="1"/>
    <col min="3" max="3" width="25.7109375" customWidth="1"/>
    <col min="4" max="4" width="25.7109375" customWidth="1"/>
    <col min="5" max="5" width="14.7109375" customWidth="1"/>
    <col min="6" max="6" width="18.7109375" customWidth="1"/>
    <col min="7" max="7" width="49.7109375" customWidth="1"/>
    <col min="8" max="8" width="10.7109375" customWidth="1"/>
    <col min="9" max="9" width="44.7109375" customWidth="1"/>
    <col min="10" max="10" width="12.7109375" customWidth="1"/>
    <col min="11" max="11" width="7.7109375" customWidth="1"/>
    <col min="12" max="12" width="8.7109375" customWidth="1"/>
    <col min="13" max="13" width="14.7109375" customWidth="1"/>
    <col min="14" max="14" width="13.7109375" customWidth="1"/>
    <col min="15" max="15" width="19.7109375" customWidth="1"/>
    <col min="16" max="16" width="11.7109375" customWidth="1"/>
    <col min="17" max="17" width="14.7109375" customWidth="1"/>
    <col min="18" max="18" width="19.7109375" customWidth="1"/>
    <col min="19" max="19" width="7.7109375" customWidth="1"/>
    <col min="20" max="20" width="10.7109375" customWidth="1"/>
    <col min="21" max="21" width="9.7109375" customWidth="1"/>
    <col min="22" max="22" width="22.7109375" customWidth="1"/>
    <col min="23" max="23" width="25.7109375" customWidth="1"/>
    <col min="24" max="24" width="13.7109375" customWidth="1"/>
    <col min="25" max="25" width="20.7109375" customWidth="1"/>
    <col min="26" max="26" width="18.7109375" customWidth="1"/>
    <col min="27" max="27" width="25.7109375" customWidth="1"/>
    <col min="28" max="28" width="6.7109375" customWidth="1"/>
    <col min="29" max="29" width="14.7109375" customWidth="1"/>
    <col min="30" max="30" width="14.7109375" customWidth="1"/>
    <col min="31" max="31" width="13.7109375" customWidth="1"/>
    <col min="32" max="32" width="23.7109375" customWidth="1"/>
    <col min="33" max="33" width="9.7109375" customWidth="1"/>
    <col min="34" max="34" width="14.7109375" customWidth="1"/>
    <col min="35" max="35" width="24.7109375" customWidth="1"/>
    <col min="36" max="36" width="6.7109375" customWidth="1"/>
    <col min="37" max="37" width="16.7109375" customWidth="1"/>
    <col min="38" max="38" width="21.7109375" customWidth="1"/>
    <col min="39" max="39" width="10.7109375" customWidth="1"/>
    <col min="40" max="40" width="17.7109375" customWidth="1"/>
    <col min="41" max="41" width="18.7109375" customWidth="1"/>
    <col min="42" max="42" width="12.7109375" customWidth="1"/>
    <col min="43" max="43" width="9.7109375" customWidth="1"/>
    <col min="44" max="44" width="19.7109375" customWidth="1"/>
    <col min="45" max="45" width="11.7109375" customWidth="1"/>
    <col min="46" max="46" width="21.7109375" customWidth="1"/>
    <col min="47" max="47" width="24.7109375" customWidth="1"/>
    <col min="48" max="48" width="19.7109375" customWidth="1"/>
    <col min="49" max="49" width="16.7109375" customWidth="1"/>
    <col min="50" max="50" width="17.7109375" customWidth="1"/>
    <col min="51" max="51" width="21.7109375" customWidth="1"/>
    <col min="52" max="52" width="18.7109375" customWidth="1"/>
    <col min="53" max="53" width="19.7109375" customWidth="1"/>
    <col min="54" max="54" width="13.7109375" customWidth="1"/>
    <col min="55" max="55" width="17.7109375" customWidth="1"/>
    <col min="56" max="56" width="18.7109375" customWidth="1"/>
    <col min="57" max="57" width="8.7109375" customWidth="1"/>
    <col min="58" max="58" width="15.7109375" customWidth="1"/>
    <col min="59" max="59" width="11.7109375" customWidth="1"/>
    <col min="60" max="60" width="19.7109375" customWidth="1"/>
    <col min="61" max="61" width="14.7109375" customWidth="1"/>
    <col min="62" max="62" width="21.7109375" customWidth="1"/>
    <col min="63" max="63" width="11.7109375" customWidth="1"/>
    <col min="64" max="64" width="7.7109375" customWidth="1"/>
    <col min="65" max="65" width="13.7109375" customWidth="1"/>
    <col min="66" max="66" width="11.7109375" customWidth="1"/>
    <col min="67" max="67" width="11.7109375" customWidth="1"/>
    <col min="68" max="68" width="18.7109375" customWidth="1"/>
    <col min="69" max="69" width="11.7109375" customWidth="1"/>
    <col min="70" max="70" width="9.7109375" customWidth="1"/>
    <col min="71" max="71" width="22.7109375" customWidth="1"/>
    <col min="72" max="72" width="11.7109375" customWidth="1"/>
    <col min="73" max="73" width="10.7109375" customWidth="1"/>
    <col min="74" max="74" width="25.7109375" customWidth="1"/>
    <col min="75" max="75" width="18.7109375" customWidth="1"/>
    <col min="76" max="76" width="15.7109375" customWidth="1"/>
    <col min="77" max="77" width="15.7109375" customWidth="1"/>
    <col min="78" max="78" width="17.7109375" customWidth="1"/>
    <col min="79" max="79" width="16.7109375" customWidth="1"/>
    <col min="80" max="80" width="8.7109375" customWidth="1"/>
    <col min="81" max="81" width="21.7109375" customWidth="1"/>
    <col min="82" max="82" width="11.7109375" customWidth="1"/>
    <col min="83" max="83" width="22.7109375" customWidth="1"/>
    <col min="84" max="84" width="17.7109375" customWidth="1"/>
    <col min="85" max="85" width="17.7109375" customWidth="1"/>
    <col min="86" max="86" width="10.7109375" customWidth="1"/>
    <col min="87" max="87" width="20.7109375" customWidth="1"/>
    <col min="88" max="88" width="23.7109375" customWidth="1"/>
    <col min="89" max="89" width="19.7109375" customWidth="1"/>
    <col min="90" max="90" width="15.7109375" customWidth="1"/>
    <col min="91" max="91" width="21.7109375" customWidth="1"/>
    <col min="92" max="92" width="14.7109375" customWidth="1"/>
    <col min="93" max="93" width="17.7109375" customWidth="1"/>
    <col min="94" max="94" width="7.7109375" customWidth="1"/>
    <col min="95" max="95" width="17.7109375" customWidth="1"/>
    <col min="96" max="96" width="23.7109375" customWidth="1"/>
    <col min="97" max="97" width="25.7109375" customWidth="1"/>
    <col min="98" max="98" width="21.7109375" customWidth="1"/>
    <col min="99" max="99" width="13.7109375" customWidth="1"/>
    <col min="100" max="100" width="21.7109375" customWidth="1"/>
    <col min="101" max="101" width="9.7109375" customWidth="1"/>
    <col min="102" max="102" width="6.7109375" customWidth="1"/>
    <col min="103" max="103" width="15.7109375" customWidth="1"/>
    <col min="104" max="104" width="24.7109375" customWidth="1"/>
    <col min="105" max="105" width="14.7109375" customWidth="1"/>
    <col min="106" max="106" width="17.7109375" customWidth="1"/>
    <col min="107" max="107" width="14.7109375" customWidth="1"/>
    <col min="108" max="108" width="11.7109375" customWidth="1"/>
    <col min="109" max="109" width="8.7109375" customWidth="1"/>
    <col min="110" max="110" width="23.7109375" customWidth="1"/>
    <col min="111" max="111" width="19.7109375" customWidth="1"/>
    <col min="112" max="112" width="18.7109375" customWidth="1"/>
    <col min="113" max="113" width="19.7109375" customWidth="1"/>
    <col min="114" max="114" width="22.7109375" customWidth="1"/>
    <col min="115" max="115" width="7.7109375" customWidth="1"/>
    <col min="116" max="116" width="34.7109375" customWidth="1"/>
    <col min="117" max="117" width="21.7109375" customWidth="1"/>
    <col min="118" max="118" width="23.7109375" customWidth="1"/>
    <col min="119" max="119" width="6.7109375" customWidth="1"/>
    <col min="120" max="120" width="19.7109375" customWidth="1"/>
    <col min="121" max="121" width="21.7109375" customWidth="1"/>
    <col min="122" max="122" width="21.7109375" customWidth="1"/>
    <col min="123" max="123" width="19.7109375" customWidth="1"/>
    <col min="124" max="124" width="9.7109375" customWidth="1"/>
    <col min="125" max="125" width="21.7109375" customWidth="1"/>
    <col min="126" max="126" width="17.7109375" customWidth="1"/>
    <col min="127" max="127" width="13.7109375" customWidth="1"/>
    <col min="128" max="128" width="18.7109375" customWidth="1"/>
    <col min="129" max="129" width="27.7109375" customWidth="1"/>
    <col min="130" max="130" width="21.7109375" customWidth="1"/>
    <col min="131" max="131" width="21.7109375" customWidth="1"/>
    <col min="132" max="132" width="15.7109375" customWidth="1"/>
    <col min="133" max="133" width="9.7109375" customWidth="1"/>
    <col min="134" max="134" width="10.7109375" customWidth="1"/>
    <col min="135" max="135" width="10.7109375" customWidth="1"/>
    <col min="136" max="136" width="17.7109375" customWidth="1"/>
    <col min="137" max="137" width="12.7109375" customWidth="1"/>
    <col min="138" max="138" width="22.7109375" customWidth="1"/>
    <col min="139" max="139" width="13.7109375" customWidth="1"/>
    <col min="140" max="140" width="18.7109375" customWidth="1"/>
    <col min="141" max="141" width="19.7109375" customWidth="1"/>
    <col min="142" max="142" width="14.7109375" customWidth="1"/>
    <col min="143" max="143" width="13.7109375" customWidth="1"/>
    <col min="144" max="144" width="10.7109375" customWidth="1"/>
    <col min="145" max="145" width="10.7109375" customWidth="1"/>
    <col min="146" max="146" width="32.7109375" customWidth="1"/>
    <col min="147" max="147" width="13.7109375" customWidth="1"/>
    <col min="148" max="148" width="29.7109375" customWidth="1"/>
    <col min="149" max="149" width="37.7109375" customWidth="1"/>
    <col min="150" max="150" width="27.7109375" customWidth="1"/>
    <col min="151" max="151" width="24.7109375" customWidth="1"/>
    <col min="152" max="152" width="18.7109375" customWidth="1"/>
    <col min="153" max="153" width="17.7109375" customWidth="1"/>
    <col min="154" max="154" width="11.7109375" customWidth="1"/>
    <col min="155" max="155" width="11.7109375" customWidth="1"/>
    <col min="156" max="156" width="18.7109375" customWidth="1"/>
    <col min="157" max="157" width="12.7109375" customWidth="1"/>
    <col min="158" max="158" width="22.7109375" customWidth="1"/>
    <col min="159" max="159" width="21.7109375" customWidth="1"/>
    <col min="160" max="160" width="18.7109375" customWidth="1"/>
    <col min="161" max="161" width="14.7109375" customWidth="1"/>
    <col min="162" max="162" width="14.7109375" customWidth="1"/>
    <col min="163" max="163" width="22.7109375" customWidth="1"/>
    <col min="164" max="164" width="22.7109375" customWidth="1"/>
    <col min="165" max="165" width="26.7109375" customWidth="1"/>
    <col min="166" max="166" width="22.7109375" customWidth="1"/>
    <col min="167" max="167" width="25.7109375" customWidth="1"/>
    <col min="168" max="168" width="21.7109375" customWidth="1"/>
    <col min="169" max="169" width="29.7109375" customWidth="1"/>
    <col min="170" max="170" width="32.7109375" customWidth="1"/>
    <col min="171" max="171" width="24.7109375" customWidth="1"/>
    <col min="172" max="172" width="33.7109375" customWidth="1"/>
    <col min="173" max="173" width="23.7109375" customWidth="1"/>
    <col min="174" max="174" width="24.7109375" customWidth="1"/>
    <col min="175" max="175" width="19.7109375" customWidth="1"/>
    <col min="176" max="176" width="15.7109375" customWidth="1"/>
    <col min="177" max="177" width="33.7109375" customWidth="1"/>
    <col min="178" max="178" width="20.7109375" customWidth="1"/>
    <col min="179" max="179" width="37.7109375" customWidth="1"/>
    <col min="180" max="180" width="12.7109375" customWidth="1"/>
    <col min="181" max="181" width="8.7109375" customWidth="1"/>
    <col min="182" max="182" width="16.7109375" customWidth="1"/>
    <col min="183" max="183" width="14.7109375" customWidth="1"/>
    <col min="184" max="184" width="19.7109375" customWidth="1"/>
    <col min="185" max="185" width="15.7109375" customWidth="1"/>
    <col min="186" max="186" width="8.7109375" customWidth="1"/>
    <col min="187" max="187" width="13.7109375" customWidth="1"/>
    <col min="188" max="188" width="31.7109375" customWidth="1"/>
    <col min="189" max="189" width="15.7109375" customWidth="1"/>
    <col min="190" max="190" width="19.7109375" customWidth="1"/>
    <col min="191" max="191" width="17.7109375" customWidth="1"/>
    <col min="192" max="192" width="11.7109375" customWidth="1"/>
    <col min="193" max="193" width="20.7109375" customWidth="1"/>
    <col min="194" max="194" width="10.7109375" customWidth="1"/>
    <col min="195" max="195" width="18.7109375" customWidth="1"/>
    <col min="196" max="196" width="18.7109375" customWidth="1"/>
    <col min="197" max="197" width="14.7109375" customWidth="1"/>
    <col min="198" max="198" width="14.7109375" customWidth="1"/>
    <col min="199" max="199" width="12.7109375" customWidth="1"/>
    <col min="200" max="200" width="26.7109375" customWidth="1"/>
    <col min="201" max="201" width="10.7109375" customWidth="1"/>
    <col min="202" max="202" width="13.7109375" customWidth="1"/>
    <col min="203" max="203" width="14.7109375" customWidth="1"/>
    <col min="204" max="204" width="10.7109375" customWidth="1"/>
    <col min="205" max="205" width="13.7109375" customWidth="1"/>
  </cols>
  <sheetData>
    <row r="1" spans="1:205">
      <c r="A1" s="5" t="s">
        <v>0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241</v>
      </c>
      <c r="N1" s="5" t="s">
        <v>242</v>
      </c>
      <c r="O1" s="5" t="s">
        <v>243</v>
      </c>
      <c r="P1" s="5" t="s">
        <v>244</v>
      </c>
      <c r="Q1" s="5" t="s">
        <v>245</v>
      </c>
      <c r="R1" s="5" t="s">
        <v>246</v>
      </c>
      <c r="S1" s="5" t="s">
        <v>247</v>
      </c>
      <c r="T1" s="5" t="s">
        <v>248</v>
      </c>
      <c r="U1" s="5" t="s">
        <v>249</v>
      </c>
      <c r="V1" s="5" t="s">
        <v>250</v>
      </c>
      <c r="W1" s="5" t="s">
        <v>251</v>
      </c>
      <c r="X1" s="5" t="s">
        <v>252</v>
      </c>
      <c r="Y1" s="5" t="s">
        <v>253</v>
      </c>
      <c r="Z1" s="5" t="s">
        <v>254</v>
      </c>
      <c r="AA1" s="5" t="s">
        <v>255</v>
      </c>
      <c r="AB1" s="5" t="s">
        <v>256</v>
      </c>
      <c r="AC1" s="5" t="s">
        <v>257</v>
      </c>
      <c r="AD1" s="5" t="s">
        <v>258</v>
      </c>
      <c r="AE1" s="5" t="s">
        <v>259</v>
      </c>
      <c r="AF1" s="5" t="s">
        <v>260</v>
      </c>
      <c r="AG1" s="5" t="s">
        <v>261</v>
      </c>
      <c r="AH1" s="5" t="s">
        <v>262</v>
      </c>
      <c r="AI1" s="5" t="s">
        <v>263</v>
      </c>
      <c r="AJ1" s="5" t="s">
        <v>264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269</v>
      </c>
      <c r="AP1" s="5" t="s">
        <v>270</v>
      </c>
      <c r="AQ1" s="5" t="s">
        <v>271</v>
      </c>
      <c r="AR1" s="5" t="s">
        <v>272</v>
      </c>
      <c r="AS1" s="5" t="s">
        <v>273</v>
      </c>
      <c r="AT1" s="5" t="s">
        <v>274</v>
      </c>
      <c r="AU1" s="5" t="s">
        <v>275</v>
      </c>
      <c r="AV1" s="5" t="s">
        <v>276</v>
      </c>
      <c r="AW1" s="5" t="s">
        <v>277</v>
      </c>
      <c r="AX1" s="5" t="s">
        <v>278</v>
      </c>
      <c r="AY1" s="5" t="s">
        <v>279</v>
      </c>
      <c r="AZ1" s="5" t="s">
        <v>280</v>
      </c>
      <c r="BA1" s="5" t="s">
        <v>281</v>
      </c>
      <c r="BB1" s="5" t="s">
        <v>282</v>
      </c>
      <c r="BC1" s="5" t="s">
        <v>4</v>
      </c>
      <c r="BD1" s="5" t="s">
        <v>283</v>
      </c>
      <c r="BE1" s="5" t="s">
        <v>284</v>
      </c>
      <c r="BF1" s="5" t="s">
        <v>285</v>
      </c>
      <c r="BG1" s="5" t="s">
        <v>286</v>
      </c>
      <c r="BH1" s="5" t="s">
        <v>287</v>
      </c>
      <c r="BI1" s="5" t="s">
        <v>288</v>
      </c>
      <c r="BJ1" s="5" t="s">
        <v>289</v>
      </c>
      <c r="BK1" s="5" t="s">
        <v>290</v>
      </c>
      <c r="BL1" s="5" t="s">
        <v>291</v>
      </c>
      <c r="BM1" s="5" t="s">
        <v>292</v>
      </c>
      <c r="BN1" s="5" t="s">
        <v>293</v>
      </c>
      <c r="BO1" s="5" t="s">
        <v>294</v>
      </c>
      <c r="BP1" s="5" t="s">
        <v>295</v>
      </c>
      <c r="BQ1" s="5" t="s">
        <v>296</v>
      </c>
      <c r="BR1" s="5" t="s">
        <v>297</v>
      </c>
      <c r="BS1" s="5" t="s">
        <v>298</v>
      </c>
      <c r="BT1" s="5" t="s">
        <v>299</v>
      </c>
      <c r="BU1" s="5" t="s">
        <v>300</v>
      </c>
      <c r="BV1" s="5" t="s">
        <v>301</v>
      </c>
      <c r="BW1" s="5" t="s">
        <v>302</v>
      </c>
      <c r="BX1" s="5" t="s">
        <v>303</v>
      </c>
      <c r="BY1" s="5" t="s">
        <v>304</v>
      </c>
      <c r="BZ1" s="5" t="s">
        <v>305</v>
      </c>
      <c r="CA1" s="5" t="s">
        <v>306</v>
      </c>
      <c r="CB1" s="5" t="s">
        <v>307</v>
      </c>
      <c r="CC1" s="5" t="s">
        <v>308</v>
      </c>
      <c r="CD1" s="5" t="s">
        <v>309</v>
      </c>
      <c r="CE1" s="5" t="s">
        <v>310</v>
      </c>
      <c r="CF1" s="5" t="s">
        <v>311</v>
      </c>
      <c r="CG1" s="5" t="s">
        <v>312</v>
      </c>
      <c r="CH1" s="5" t="s">
        <v>313</v>
      </c>
      <c r="CI1" s="5" t="s">
        <v>314</v>
      </c>
      <c r="CJ1" s="5" t="s">
        <v>315</v>
      </c>
      <c r="CK1" s="5" t="s">
        <v>316</v>
      </c>
      <c r="CL1" s="5" t="s">
        <v>317</v>
      </c>
      <c r="CM1" s="5" t="s">
        <v>318</v>
      </c>
      <c r="CN1" s="5" t="s">
        <v>319</v>
      </c>
      <c r="CO1" s="5" t="s">
        <v>320</v>
      </c>
      <c r="CP1" s="5" t="s">
        <v>321</v>
      </c>
      <c r="CQ1" s="5" t="s">
        <v>322</v>
      </c>
      <c r="CR1" s="5" t="s">
        <v>323</v>
      </c>
      <c r="CS1" s="5" t="s">
        <v>324</v>
      </c>
      <c r="CT1" s="5" t="s">
        <v>325</v>
      </c>
      <c r="CU1" s="5" t="s">
        <v>326</v>
      </c>
      <c r="CV1" s="5" t="s">
        <v>327</v>
      </c>
      <c r="CW1" s="5" t="s">
        <v>328</v>
      </c>
      <c r="CX1" s="5" t="s">
        <v>329</v>
      </c>
      <c r="CY1" s="5" t="s">
        <v>330</v>
      </c>
      <c r="CZ1" s="5" t="s">
        <v>331</v>
      </c>
      <c r="DA1" s="5" t="s">
        <v>332</v>
      </c>
      <c r="DB1" s="5" t="s">
        <v>333</v>
      </c>
      <c r="DC1" s="5" t="s">
        <v>334</v>
      </c>
      <c r="DD1" s="5" t="s">
        <v>335</v>
      </c>
      <c r="DE1" s="5" t="s">
        <v>336</v>
      </c>
      <c r="DF1" s="5" t="s">
        <v>337</v>
      </c>
      <c r="DG1" s="5" t="s">
        <v>338</v>
      </c>
      <c r="DH1" s="5" t="s">
        <v>339</v>
      </c>
      <c r="DI1" s="5" t="s">
        <v>340</v>
      </c>
      <c r="DJ1" s="5" t="s">
        <v>341</v>
      </c>
      <c r="DK1" s="5" t="s">
        <v>342</v>
      </c>
      <c r="DL1" s="5" t="s">
        <v>343</v>
      </c>
      <c r="DM1" s="5" t="s">
        <v>344</v>
      </c>
      <c r="DN1" s="5" t="s">
        <v>345</v>
      </c>
      <c r="DO1" s="5" t="s">
        <v>346</v>
      </c>
      <c r="DP1" s="5" t="s">
        <v>347</v>
      </c>
      <c r="DQ1" s="5" t="s">
        <v>348</v>
      </c>
      <c r="DR1" s="5" t="s">
        <v>349</v>
      </c>
      <c r="DS1" s="5" t="s">
        <v>350</v>
      </c>
      <c r="DT1" s="5" t="s">
        <v>351</v>
      </c>
      <c r="DU1" s="5" t="s">
        <v>352</v>
      </c>
      <c r="DV1" s="5" t="s">
        <v>353</v>
      </c>
      <c r="DW1" s="5" t="s">
        <v>354</v>
      </c>
      <c r="DX1" s="5" t="s">
        <v>355</v>
      </c>
      <c r="DY1" s="5" t="s">
        <v>356</v>
      </c>
      <c r="DZ1" s="5" t="s">
        <v>357</v>
      </c>
      <c r="EA1" s="5" t="s">
        <v>358</v>
      </c>
      <c r="EB1" s="5" t="s">
        <v>359</v>
      </c>
      <c r="EC1" s="5" t="s">
        <v>360</v>
      </c>
      <c r="ED1" s="5" t="s">
        <v>361</v>
      </c>
      <c r="EE1" s="5" t="s">
        <v>362</v>
      </c>
      <c r="EF1" s="5" t="s">
        <v>363</v>
      </c>
      <c r="EG1" s="5" t="s">
        <v>364</v>
      </c>
      <c r="EH1" s="5" t="s">
        <v>365</v>
      </c>
      <c r="EI1" s="5" t="s">
        <v>366</v>
      </c>
      <c r="EJ1" s="5" t="s">
        <v>367</v>
      </c>
      <c r="EK1" s="5" t="s">
        <v>368</v>
      </c>
      <c r="EL1" s="5" t="s">
        <v>369</v>
      </c>
      <c r="EM1" s="5" t="s">
        <v>370</v>
      </c>
      <c r="EN1" s="5" t="s">
        <v>371</v>
      </c>
      <c r="EO1" s="5" t="s">
        <v>372</v>
      </c>
      <c r="EP1" s="5" t="s">
        <v>373</v>
      </c>
      <c r="EQ1" s="5" t="s">
        <v>374</v>
      </c>
      <c r="ER1" s="5" t="s">
        <v>375</v>
      </c>
      <c r="ES1" s="5" t="s">
        <v>376</v>
      </c>
      <c r="ET1" s="5" t="s">
        <v>377</v>
      </c>
      <c r="EU1" s="5" t="s">
        <v>378</v>
      </c>
      <c r="EV1" s="5" t="s">
        <v>379</v>
      </c>
      <c r="EW1" s="5" t="s">
        <v>380</v>
      </c>
      <c r="EX1" s="5" t="s">
        <v>381</v>
      </c>
      <c r="EY1" s="5" t="s">
        <v>382</v>
      </c>
      <c r="EZ1" s="5" t="s">
        <v>383</v>
      </c>
      <c r="FA1" s="5" t="s">
        <v>384</v>
      </c>
      <c r="FB1" s="5" t="s">
        <v>385</v>
      </c>
      <c r="FC1" s="5" t="s">
        <v>386</v>
      </c>
      <c r="FD1" s="5" t="s">
        <v>387</v>
      </c>
      <c r="FE1" s="5" t="s">
        <v>388</v>
      </c>
      <c r="FF1" s="5" t="s">
        <v>389</v>
      </c>
      <c r="FG1" s="5" t="s">
        <v>390</v>
      </c>
      <c r="FH1" s="5" t="s">
        <v>391</v>
      </c>
      <c r="FI1" s="5" t="s">
        <v>392</v>
      </c>
      <c r="FJ1" s="5" t="s">
        <v>393</v>
      </c>
      <c r="FK1" s="5" t="s">
        <v>394</v>
      </c>
      <c r="FL1" s="5" t="s">
        <v>395</v>
      </c>
      <c r="FM1" s="5" t="s">
        <v>396</v>
      </c>
      <c r="FN1" s="5" t="s">
        <v>397</v>
      </c>
      <c r="FO1" s="5" t="s">
        <v>398</v>
      </c>
      <c r="FP1" s="5" t="s">
        <v>399</v>
      </c>
      <c r="FQ1" s="5" t="s">
        <v>400</v>
      </c>
      <c r="FR1" s="5" t="s">
        <v>401</v>
      </c>
      <c r="FS1" s="5" t="s">
        <v>402</v>
      </c>
      <c r="FT1" s="5" t="s">
        <v>403</v>
      </c>
      <c r="FU1" s="5" t="s">
        <v>404</v>
      </c>
      <c r="FV1" s="5" t="s">
        <v>405</v>
      </c>
      <c r="FW1" s="5" t="s">
        <v>406</v>
      </c>
      <c r="FX1" s="5" t="s">
        <v>407</v>
      </c>
      <c r="FY1" s="5" t="s">
        <v>408</v>
      </c>
      <c r="FZ1" s="5" t="s">
        <v>409</v>
      </c>
      <c r="GA1" s="5" t="s">
        <v>410</v>
      </c>
      <c r="GB1" s="5" t="s">
        <v>411</v>
      </c>
      <c r="GC1" s="5" t="s">
        <v>412</v>
      </c>
      <c r="GD1" s="5" t="s">
        <v>413</v>
      </c>
      <c r="GE1" s="5" t="s">
        <v>414</v>
      </c>
      <c r="GF1" s="5" t="s">
        <v>415</v>
      </c>
      <c r="GG1" s="5" t="s">
        <v>416</v>
      </c>
      <c r="GH1" s="5" t="s">
        <v>417</v>
      </c>
      <c r="GI1" s="5" t="s">
        <v>418</v>
      </c>
      <c r="GJ1" s="5" t="s">
        <v>419</v>
      </c>
      <c r="GK1" s="5" t="s">
        <v>420</v>
      </c>
      <c r="GL1" s="5" t="s">
        <v>421</v>
      </c>
      <c r="GM1" s="5" t="s">
        <v>422</v>
      </c>
      <c r="GN1" s="5" t="s">
        <v>423</v>
      </c>
      <c r="GO1" s="5" t="s">
        <v>424</v>
      </c>
      <c r="GP1" s="5" t="s">
        <v>425</v>
      </c>
      <c r="GQ1" s="5" t="s">
        <v>426</v>
      </c>
      <c r="GR1" s="5" t="s">
        <v>427</v>
      </c>
      <c r="GS1" s="5" t="s">
        <v>428</v>
      </c>
      <c r="GT1" s="5" t="s">
        <v>429</v>
      </c>
      <c r="GU1" s="5" t="s">
        <v>430</v>
      </c>
      <c r="GV1" s="5" t="s">
        <v>431</v>
      </c>
      <c r="GW1" s="5" t="s">
        <v>432</v>
      </c>
    </row>
    <row r="2" spans="1:205">
      <c r="A2" s="7" t="s">
        <v>7</v>
      </c>
      <c r="E2" s="8" t="s">
        <v>433</v>
      </c>
      <c r="F2" s="8" t="s">
        <v>434</v>
      </c>
      <c r="G2" s="8" t="s">
        <v>435</v>
      </c>
      <c r="I2" s="8" t="s">
        <v>436</v>
      </c>
      <c r="K2" s="8" t="s">
        <v>437</v>
      </c>
      <c r="L2" s="8" t="s">
        <v>438</v>
      </c>
      <c r="N2" s="8" t="s">
        <v>439</v>
      </c>
      <c r="P2" s="8" t="s">
        <v>440</v>
      </c>
      <c r="S2" s="8" t="s">
        <v>441</v>
      </c>
      <c r="U2" s="8" t="s">
        <v>442</v>
      </c>
      <c r="W2" s="8" t="s">
        <v>443</v>
      </c>
      <c r="X2" s="8" t="s">
        <v>444</v>
      </c>
      <c r="AA2" s="8" t="s">
        <v>445</v>
      </c>
      <c r="AD2" s="8" t="s">
        <v>446</v>
      </c>
      <c r="AE2" s="8" t="s">
        <v>441</v>
      </c>
      <c r="AG2" s="8" t="s">
        <v>447</v>
      </c>
      <c r="AN2" s="8" t="s">
        <v>448</v>
      </c>
      <c r="AQ2" s="8" t="s">
        <v>449</v>
      </c>
      <c r="AS2" s="8" t="s">
        <v>450</v>
      </c>
      <c r="AT2" s="8" t="s">
        <v>451</v>
      </c>
      <c r="AU2" s="8" t="s">
        <v>452</v>
      </c>
      <c r="AV2" s="8" t="s">
        <v>453</v>
      </c>
      <c r="BC2" s="8" t="s">
        <v>11</v>
      </c>
      <c r="BE2" s="8" t="s">
        <v>454</v>
      </c>
      <c r="BJ2" s="8" t="s">
        <v>455</v>
      </c>
      <c r="BN2" s="8" t="s">
        <v>8</v>
      </c>
      <c r="BO2" s="8" t="s">
        <v>456</v>
      </c>
      <c r="BP2" s="8" t="s">
        <v>12</v>
      </c>
      <c r="BQ2" s="8" t="s">
        <v>457</v>
      </c>
      <c r="BR2" s="8" t="s">
        <v>458</v>
      </c>
      <c r="BS2" s="8" t="s">
        <v>452</v>
      </c>
      <c r="BU2" s="8" t="s">
        <v>459</v>
      </c>
      <c r="BV2" s="8" t="s">
        <v>459</v>
      </c>
      <c r="BZ2" s="8" t="s">
        <v>460</v>
      </c>
      <c r="CB2" s="8" t="s">
        <v>461</v>
      </c>
      <c r="CF2" s="8" t="s">
        <v>462</v>
      </c>
      <c r="CO2" s="8" t="s">
        <v>463</v>
      </c>
      <c r="CP2" s="8" t="s">
        <v>464</v>
      </c>
    </row>
    <row r="3" spans="1:205">
      <c r="A3" s="10" t="s">
        <v>14</v>
      </c>
      <c r="E3" s="11" t="s">
        <v>433</v>
      </c>
      <c r="F3" s="11" t="s">
        <v>434</v>
      </c>
      <c r="G3" s="11" t="s">
        <v>435</v>
      </c>
      <c r="I3" s="11" t="s">
        <v>436</v>
      </c>
      <c r="K3" s="11" t="s">
        <v>441</v>
      </c>
      <c r="L3" s="11" t="s">
        <v>438</v>
      </c>
      <c r="N3" s="11" t="s">
        <v>465</v>
      </c>
      <c r="P3" s="11" t="s">
        <v>440</v>
      </c>
      <c r="S3" s="11" t="s">
        <v>441</v>
      </c>
      <c r="U3" s="11" t="s">
        <v>466</v>
      </c>
      <c r="W3" s="11" t="s">
        <v>443</v>
      </c>
      <c r="X3" s="11" t="s">
        <v>444</v>
      </c>
      <c r="AA3" s="11" t="s">
        <v>445</v>
      </c>
      <c r="AD3" s="11" t="s">
        <v>446</v>
      </c>
      <c r="AE3" s="11" t="s">
        <v>441</v>
      </c>
      <c r="AG3" s="11" t="s">
        <v>447</v>
      </c>
      <c r="AN3" s="11" t="s">
        <v>448</v>
      </c>
      <c r="AQ3" s="11" t="s">
        <v>467</v>
      </c>
      <c r="AS3" s="11" t="s">
        <v>468</v>
      </c>
      <c r="AT3" s="11" t="s">
        <v>451</v>
      </c>
      <c r="AU3" s="11" t="s">
        <v>452</v>
      </c>
      <c r="AV3" s="11" t="s">
        <v>469</v>
      </c>
      <c r="BC3" s="11" t="s">
        <v>11</v>
      </c>
      <c r="BE3" s="11" t="s">
        <v>454</v>
      </c>
      <c r="BJ3" s="11" t="s">
        <v>455</v>
      </c>
      <c r="BN3" s="11" t="s">
        <v>8</v>
      </c>
      <c r="BO3" s="11" t="s">
        <v>470</v>
      </c>
      <c r="BP3" s="11" t="s">
        <v>17</v>
      </c>
      <c r="BQ3" s="11" t="s">
        <v>457</v>
      </c>
      <c r="BR3" s="11" t="s">
        <v>458</v>
      </c>
      <c r="BS3" s="11" t="s">
        <v>452</v>
      </c>
      <c r="BU3" s="11" t="s">
        <v>459</v>
      </c>
      <c r="BV3" s="11" t="s">
        <v>459</v>
      </c>
      <c r="BZ3" s="11" t="s">
        <v>460</v>
      </c>
      <c r="CB3" s="11" t="s">
        <v>461</v>
      </c>
      <c r="CF3" s="11" t="s">
        <v>471</v>
      </c>
      <c r="CO3" s="11" t="s">
        <v>463</v>
      </c>
      <c r="CP3" s="11" t="s">
        <v>470</v>
      </c>
    </row>
    <row r="4" spans="1:205">
      <c r="A4" s="7" t="s">
        <v>19</v>
      </c>
      <c r="E4" s="8" t="s">
        <v>433</v>
      </c>
      <c r="F4" s="8" t="s">
        <v>472</v>
      </c>
      <c r="G4" s="8" t="s">
        <v>473</v>
      </c>
      <c r="I4" s="8" t="s">
        <v>436</v>
      </c>
      <c r="K4" s="8" t="s">
        <v>474</v>
      </c>
      <c r="N4" s="8" t="s">
        <v>439</v>
      </c>
      <c r="P4" s="8" t="s">
        <v>440</v>
      </c>
      <c r="U4" s="8" t="s">
        <v>475</v>
      </c>
      <c r="W4" s="8" t="s">
        <v>476</v>
      </c>
      <c r="X4" s="8" t="s">
        <v>444</v>
      </c>
      <c r="AA4" s="8" t="s">
        <v>445</v>
      </c>
      <c r="AD4" s="8" t="s">
        <v>444</v>
      </c>
      <c r="AE4" s="8" t="s">
        <v>444</v>
      </c>
      <c r="AG4" s="8" t="s">
        <v>477</v>
      </c>
      <c r="AN4" s="8" t="s">
        <v>444</v>
      </c>
      <c r="AS4" s="8" t="s">
        <v>478</v>
      </c>
      <c r="AT4" s="8" t="s">
        <v>479</v>
      </c>
      <c r="AU4" s="8" t="s">
        <v>480</v>
      </c>
      <c r="AV4" s="8" t="s">
        <v>454</v>
      </c>
      <c r="BN4" s="8" t="s">
        <v>473</v>
      </c>
      <c r="BO4" s="8" t="s">
        <v>456</v>
      </c>
      <c r="CN4" s="8" t="s">
        <v>481</v>
      </c>
      <c r="CQ4" s="8" t="s">
        <v>482</v>
      </c>
      <c r="DE4" s="8" t="s">
        <v>483</v>
      </c>
      <c r="DK4" s="8" t="s">
        <v>484</v>
      </c>
      <c r="EH4" s="8" t="s">
        <v>485</v>
      </c>
      <c r="FY4" s="8" t="s">
        <v>486</v>
      </c>
      <c r="FZ4" s="8" t="s">
        <v>483</v>
      </c>
      <c r="GA4" s="8" t="s">
        <v>474</v>
      </c>
      <c r="GI4" s="8" t="s">
        <v>481</v>
      </c>
    </row>
    <row r="5" spans="1:205">
      <c r="A5" s="10" t="s">
        <v>25</v>
      </c>
      <c r="E5" s="11" t="s">
        <v>487</v>
      </c>
      <c r="G5" s="11" t="s">
        <v>488</v>
      </c>
      <c r="I5" s="11" t="s">
        <v>489</v>
      </c>
      <c r="K5" s="11" t="s">
        <v>490</v>
      </c>
      <c r="L5" s="11" t="s">
        <v>491</v>
      </c>
      <c r="N5" s="11" t="s">
        <v>465</v>
      </c>
      <c r="U5" s="11" t="s">
        <v>492</v>
      </c>
      <c r="W5" s="11" t="s">
        <v>493</v>
      </c>
      <c r="X5" s="11" t="s">
        <v>444</v>
      </c>
      <c r="CD5" s="11" t="s">
        <v>494</v>
      </c>
      <c r="CM5" s="11" t="s">
        <v>495</v>
      </c>
      <c r="CR5" s="11" t="s">
        <v>496</v>
      </c>
      <c r="DF5" s="11" t="s">
        <v>497</v>
      </c>
      <c r="DG5" s="11" t="s">
        <v>498</v>
      </c>
      <c r="DR5" s="11" t="s">
        <v>499</v>
      </c>
      <c r="DS5" s="11" t="s">
        <v>500</v>
      </c>
      <c r="GF5" s="11" t="s">
        <v>501</v>
      </c>
    </row>
    <row r="6" spans="1:205">
      <c r="A6" s="7" t="s">
        <v>30</v>
      </c>
      <c r="E6" s="8" t="s">
        <v>433</v>
      </c>
      <c r="F6" s="8" t="s">
        <v>472</v>
      </c>
      <c r="K6" s="8" t="s">
        <v>437</v>
      </c>
      <c r="L6" s="8" t="s">
        <v>438</v>
      </c>
      <c r="N6" s="8" t="s">
        <v>502</v>
      </c>
      <c r="S6" s="8" t="s">
        <v>503</v>
      </c>
      <c r="U6" s="8" t="s">
        <v>441</v>
      </c>
      <c r="AB6" s="8" t="s">
        <v>504</v>
      </c>
      <c r="GV6" s="8" t="s">
        <v>505</v>
      </c>
    </row>
    <row r="7" spans="1:205">
      <c r="A7" s="10" t="s">
        <v>36</v>
      </c>
      <c r="E7" s="11" t="s">
        <v>433</v>
      </c>
      <c r="F7" s="11" t="s">
        <v>472</v>
      </c>
      <c r="G7" s="11" t="s">
        <v>444</v>
      </c>
      <c r="I7" s="11" t="s">
        <v>506</v>
      </c>
      <c r="K7" s="11" t="s">
        <v>507</v>
      </c>
      <c r="N7" s="11" t="s">
        <v>502</v>
      </c>
      <c r="P7" s="11" t="s">
        <v>440</v>
      </c>
      <c r="Q7" s="11" t="s">
        <v>508</v>
      </c>
      <c r="AB7" s="11" t="s">
        <v>509</v>
      </c>
      <c r="AC7" s="11" t="s">
        <v>510</v>
      </c>
      <c r="AI7" s="11" t="s">
        <v>472</v>
      </c>
      <c r="AJ7" s="11" t="s">
        <v>511</v>
      </c>
      <c r="CT7" s="11" t="s">
        <v>444</v>
      </c>
      <c r="CU7" s="11" t="s">
        <v>444</v>
      </c>
      <c r="CV7" s="11" t="s">
        <v>512</v>
      </c>
      <c r="CZ7" s="11" t="s">
        <v>513</v>
      </c>
      <c r="FX7" s="11" t="s">
        <v>438</v>
      </c>
      <c r="GL7" s="11" t="s">
        <v>514</v>
      </c>
    </row>
    <row r="8" spans="1:205">
      <c r="A8" s="7" t="s">
        <v>41</v>
      </c>
      <c r="B8" s="8" t="s">
        <v>515</v>
      </c>
      <c r="E8" s="8" t="s">
        <v>433</v>
      </c>
      <c r="F8" s="8" t="s">
        <v>516</v>
      </c>
      <c r="G8" s="8" t="s">
        <v>517</v>
      </c>
      <c r="I8" s="8" t="s">
        <v>436</v>
      </c>
      <c r="K8" s="8" t="s">
        <v>518</v>
      </c>
      <c r="L8" s="8" t="s">
        <v>519</v>
      </c>
      <c r="P8" s="8" t="s">
        <v>520</v>
      </c>
      <c r="S8" s="8" t="s">
        <v>521</v>
      </c>
      <c r="V8" s="8" t="s">
        <v>522</v>
      </c>
      <c r="AB8" s="8" t="s">
        <v>509</v>
      </c>
      <c r="AI8" s="8" t="s">
        <v>516</v>
      </c>
      <c r="AJ8" s="8" t="s">
        <v>511</v>
      </c>
      <c r="AW8" s="8" t="s">
        <v>523</v>
      </c>
      <c r="AX8" s="8" t="s">
        <v>524</v>
      </c>
      <c r="BF8" s="8" t="s">
        <v>525</v>
      </c>
      <c r="BG8" s="8" t="s">
        <v>526</v>
      </c>
      <c r="BK8" s="8" t="s">
        <v>527</v>
      </c>
      <c r="BL8" s="8" t="s">
        <v>528</v>
      </c>
      <c r="BM8" s="8" t="s">
        <v>528</v>
      </c>
    </row>
    <row r="9" spans="1:205">
      <c r="A9" s="10" t="s">
        <v>47</v>
      </c>
      <c r="B9" s="11" t="s">
        <v>515</v>
      </c>
      <c r="E9" s="11" t="s">
        <v>433</v>
      </c>
      <c r="F9" s="11" t="s">
        <v>516</v>
      </c>
      <c r="G9" s="11" t="s">
        <v>444</v>
      </c>
      <c r="I9" s="11" t="s">
        <v>436</v>
      </c>
      <c r="L9" s="11" t="s">
        <v>529</v>
      </c>
      <c r="N9" s="11" t="s">
        <v>530</v>
      </c>
      <c r="P9" s="11" t="s">
        <v>520</v>
      </c>
      <c r="S9" s="11" t="s">
        <v>528</v>
      </c>
      <c r="V9" s="11" t="s">
        <v>522</v>
      </c>
      <c r="AB9" s="11" t="s">
        <v>509</v>
      </c>
      <c r="AI9" s="11" t="s">
        <v>516</v>
      </c>
      <c r="AJ9" s="11" t="s">
        <v>511</v>
      </c>
      <c r="AW9" s="11" t="s">
        <v>523</v>
      </c>
      <c r="AX9" s="11" t="s">
        <v>524</v>
      </c>
      <c r="BF9" s="11" t="s">
        <v>531</v>
      </c>
      <c r="BG9" s="11" t="s">
        <v>532</v>
      </c>
      <c r="BK9" s="11" t="s">
        <v>527</v>
      </c>
      <c r="BL9" s="11" t="s">
        <v>528</v>
      </c>
      <c r="BM9" s="11" t="s">
        <v>528</v>
      </c>
    </row>
    <row r="10" spans="1:205">
      <c r="A10" s="7" t="s">
        <v>52</v>
      </c>
      <c r="B10" s="8" t="s">
        <v>515</v>
      </c>
      <c r="E10" s="8" t="s">
        <v>433</v>
      </c>
      <c r="F10" s="8" t="s">
        <v>516</v>
      </c>
      <c r="G10" s="8" t="s">
        <v>517</v>
      </c>
      <c r="I10" s="8" t="s">
        <v>436</v>
      </c>
      <c r="L10" s="8" t="s">
        <v>533</v>
      </c>
      <c r="P10" s="8" t="s">
        <v>520</v>
      </c>
      <c r="S10" s="8" t="s">
        <v>528</v>
      </c>
      <c r="V10" s="8" t="s">
        <v>534</v>
      </c>
      <c r="AB10" s="8" t="s">
        <v>509</v>
      </c>
      <c r="AI10" s="8" t="s">
        <v>516</v>
      </c>
      <c r="AJ10" s="8" t="s">
        <v>511</v>
      </c>
      <c r="AW10" s="8" t="s">
        <v>523</v>
      </c>
      <c r="AX10" s="8" t="s">
        <v>524</v>
      </c>
      <c r="BF10" s="8" t="s">
        <v>525</v>
      </c>
      <c r="BG10" s="8" t="s">
        <v>532</v>
      </c>
      <c r="BK10" s="8" t="s">
        <v>527</v>
      </c>
      <c r="BL10" s="8" t="s">
        <v>528</v>
      </c>
      <c r="BM10" s="8" t="s">
        <v>528</v>
      </c>
      <c r="GW10" s="8" t="s">
        <v>535</v>
      </c>
    </row>
    <row r="11" spans="1:205">
      <c r="A11" s="10" t="s">
        <v>57</v>
      </c>
      <c r="E11" s="11" t="s">
        <v>433</v>
      </c>
      <c r="F11" s="11" t="s">
        <v>472</v>
      </c>
      <c r="G11" s="11" t="s">
        <v>536</v>
      </c>
      <c r="I11" s="11" t="s">
        <v>436</v>
      </c>
      <c r="K11" s="11" t="s">
        <v>537</v>
      </c>
      <c r="L11" s="11" t="s">
        <v>438</v>
      </c>
      <c r="N11" s="11" t="s">
        <v>439</v>
      </c>
      <c r="P11" s="11" t="s">
        <v>440</v>
      </c>
      <c r="Q11" s="11" t="s">
        <v>538</v>
      </c>
      <c r="S11" s="11" t="s">
        <v>441</v>
      </c>
      <c r="U11" s="11" t="s">
        <v>441</v>
      </c>
      <c r="W11" s="11" t="s">
        <v>539</v>
      </c>
      <c r="X11" s="11" t="s">
        <v>444</v>
      </c>
      <c r="AA11" s="11" t="s">
        <v>445</v>
      </c>
      <c r="AD11" s="11" t="s">
        <v>446</v>
      </c>
      <c r="AE11" s="11" t="s">
        <v>441</v>
      </c>
      <c r="AF11" s="11" t="s">
        <v>540</v>
      </c>
      <c r="AG11" s="11" t="s">
        <v>541</v>
      </c>
      <c r="AP11" s="11" t="s">
        <v>542</v>
      </c>
      <c r="AQ11" s="11" t="s">
        <v>543</v>
      </c>
      <c r="BT11" s="11" t="s">
        <v>544</v>
      </c>
      <c r="BW11" s="11" t="s">
        <v>545</v>
      </c>
      <c r="CH11" s="11" t="s">
        <v>546</v>
      </c>
      <c r="CI11" s="11" t="s">
        <v>547</v>
      </c>
      <c r="CJ11" s="11" t="s">
        <v>452</v>
      </c>
      <c r="CK11" s="11" t="s">
        <v>544</v>
      </c>
      <c r="CL11" s="11" t="s">
        <v>548</v>
      </c>
    </row>
    <row r="12" spans="1:205">
      <c r="A12" s="7" t="s">
        <v>63</v>
      </c>
      <c r="E12" s="8" t="s">
        <v>433</v>
      </c>
      <c r="F12" s="8" t="s">
        <v>472</v>
      </c>
      <c r="G12" s="8" t="s">
        <v>536</v>
      </c>
      <c r="I12" s="8" t="s">
        <v>436</v>
      </c>
      <c r="K12" s="8" t="s">
        <v>537</v>
      </c>
      <c r="L12" s="8" t="s">
        <v>438</v>
      </c>
      <c r="N12" s="8" t="s">
        <v>439</v>
      </c>
      <c r="P12" s="8" t="s">
        <v>440</v>
      </c>
      <c r="Q12" s="8" t="s">
        <v>538</v>
      </c>
      <c r="S12" s="8" t="s">
        <v>441</v>
      </c>
      <c r="U12" s="8" t="s">
        <v>441</v>
      </c>
      <c r="W12" s="8" t="s">
        <v>539</v>
      </c>
      <c r="X12" s="8" t="s">
        <v>444</v>
      </c>
      <c r="AA12" s="8" t="s">
        <v>445</v>
      </c>
      <c r="AD12" s="8" t="s">
        <v>446</v>
      </c>
      <c r="AE12" s="8" t="s">
        <v>441</v>
      </c>
      <c r="AF12" s="8" t="s">
        <v>540</v>
      </c>
      <c r="AG12" s="8" t="s">
        <v>541</v>
      </c>
      <c r="AP12" s="8" t="s">
        <v>542</v>
      </c>
      <c r="AQ12" s="8" t="s">
        <v>543</v>
      </c>
      <c r="BT12" s="8" t="s">
        <v>544</v>
      </c>
      <c r="BW12" s="8" t="s">
        <v>545</v>
      </c>
      <c r="CH12" s="8" t="s">
        <v>549</v>
      </c>
      <c r="CI12" s="8" t="s">
        <v>547</v>
      </c>
      <c r="CJ12" s="8" t="s">
        <v>452</v>
      </c>
      <c r="CK12" s="8" t="s">
        <v>544</v>
      </c>
      <c r="CL12" s="8" t="s">
        <v>548</v>
      </c>
    </row>
    <row r="13" spans="1:205">
      <c r="A13" s="10" t="s">
        <v>67</v>
      </c>
      <c r="E13" s="11" t="s">
        <v>433</v>
      </c>
      <c r="F13" s="11" t="s">
        <v>472</v>
      </c>
      <c r="G13" s="11" t="s">
        <v>550</v>
      </c>
      <c r="I13" s="11" t="s">
        <v>436</v>
      </c>
      <c r="K13" s="11" t="s">
        <v>551</v>
      </c>
      <c r="L13" s="11" t="s">
        <v>552</v>
      </c>
      <c r="U13" s="11" t="s">
        <v>552</v>
      </c>
      <c r="W13" s="11" t="s">
        <v>553</v>
      </c>
      <c r="X13" s="11" t="s">
        <v>444</v>
      </c>
      <c r="AA13" s="11" t="s">
        <v>554</v>
      </c>
      <c r="AN13" s="11" t="s">
        <v>555</v>
      </c>
      <c r="BC13" s="11" t="s">
        <v>556</v>
      </c>
      <c r="BE13" s="11" t="s">
        <v>454</v>
      </c>
      <c r="BJ13" s="11" t="s">
        <v>557</v>
      </c>
      <c r="CD13" s="11" t="s">
        <v>558</v>
      </c>
      <c r="CW13" s="11" t="s">
        <v>559</v>
      </c>
      <c r="CX13" s="11" t="s">
        <v>560</v>
      </c>
      <c r="CY13" s="11" t="s">
        <v>126</v>
      </c>
      <c r="DD13" s="11" t="s">
        <v>561</v>
      </c>
      <c r="DJ13" s="11" t="s">
        <v>562</v>
      </c>
      <c r="DN13" s="11" t="s">
        <v>563</v>
      </c>
      <c r="DO13" s="11" t="s">
        <v>564</v>
      </c>
      <c r="DQ13" s="11" t="s">
        <v>565</v>
      </c>
      <c r="DT13" s="11" t="s">
        <v>559</v>
      </c>
      <c r="DV13" s="11" t="s">
        <v>566</v>
      </c>
      <c r="DW13" s="11" t="s">
        <v>472</v>
      </c>
      <c r="DY13" s="11" t="s">
        <v>567</v>
      </c>
      <c r="DZ13" s="11" t="s">
        <v>568</v>
      </c>
      <c r="EA13" s="11" t="s">
        <v>563</v>
      </c>
      <c r="EB13" s="11" t="s">
        <v>569</v>
      </c>
      <c r="EK13" s="11" t="s">
        <v>570</v>
      </c>
      <c r="EL13" s="11" t="s">
        <v>566</v>
      </c>
      <c r="EM13" s="11" t="s">
        <v>571</v>
      </c>
      <c r="EN13" s="11" t="s">
        <v>572</v>
      </c>
      <c r="EO13" s="11" t="s">
        <v>573</v>
      </c>
      <c r="FA13" s="11" t="s">
        <v>574</v>
      </c>
      <c r="FB13" s="11" t="s">
        <v>16</v>
      </c>
      <c r="FC13" s="11" t="s">
        <v>16</v>
      </c>
      <c r="FG13" s="11" t="s">
        <v>10</v>
      </c>
      <c r="FH13" s="11" t="s">
        <v>10</v>
      </c>
      <c r="FL13" s="11" t="s">
        <v>16</v>
      </c>
      <c r="FM13" s="11" t="s">
        <v>575</v>
      </c>
      <c r="FN13" s="11" t="s">
        <v>16</v>
      </c>
      <c r="FO13" s="11" t="s">
        <v>576</v>
      </c>
      <c r="FP13" s="11" t="s">
        <v>577</v>
      </c>
      <c r="FQ13" s="11" t="s">
        <v>559</v>
      </c>
      <c r="FS13" s="11" t="s">
        <v>126</v>
      </c>
      <c r="FW13" s="11" t="s">
        <v>578</v>
      </c>
      <c r="GB13" s="11" t="s">
        <v>579</v>
      </c>
      <c r="GC13" s="11" t="s">
        <v>580</v>
      </c>
      <c r="GK13" s="11" t="s">
        <v>562</v>
      </c>
      <c r="GM13" s="11" t="s">
        <v>581</v>
      </c>
      <c r="GN13" s="11" t="s">
        <v>582</v>
      </c>
      <c r="GO13" s="11" t="s">
        <v>583</v>
      </c>
      <c r="GP13" s="11" t="s">
        <v>584</v>
      </c>
      <c r="GR13" s="11" t="s">
        <v>585</v>
      </c>
      <c r="GS13" s="11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U10"/>
  <sheetViews>
    <sheetView workbookViewId="0"/>
  </sheetViews>
  <sheetFormatPr defaultRowHeight="15"/>
  <cols>
    <col min="1" max="1" width="10.7109375" customWidth="1"/>
    <col min="2" max="2" width="33.7109375" customWidth="1"/>
    <col min="3" max="3" width="8.7109375" customWidth="1"/>
    <col min="4" max="4" width="35.7109375" customWidth="1"/>
    <col min="5" max="5" width="9.7109375" customWidth="1"/>
    <col min="6" max="6" width="44.7109375" customWidth="1"/>
    <col min="7" max="7" width="25.7109375" customWidth="1"/>
    <col min="8" max="8" width="25.7109375" customWidth="1"/>
    <col min="9" max="9" width="11.7109375" customWidth="1"/>
    <col min="10" max="10" width="9.7109375" customWidth="1"/>
    <col min="11" max="11" width="12.7109375" customWidth="1"/>
    <col min="12" max="12" width="7.7109375" customWidth="1"/>
    <col min="13" max="13" width="25.7109375" customWidth="1"/>
    <col min="14" max="14" width="25.7109375" customWidth="1"/>
    <col min="15" max="15" width="19.7109375" customWidth="1"/>
    <col min="16" max="16" width="10.7109375" customWidth="1"/>
    <col min="17" max="17" width="14.7109375" customWidth="1"/>
    <col min="18" max="18" width="20.7109375" customWidth="1"/>
    <col min="19" max="19" width="18.7109375" customWidth="1"/>
    <col min="20" max="20" width="6.7109375" customWidth="1"/>
    <col min="21" max="21" width="18.7109375" customWidth="1"/>
    <col min="22" max="22" width="14.7109375" customWidth="1"/>
    <col min="23" max="23" width="10.7109375" customWidth="1"/>
    <col min="24" max="24" width="29.7109375" customWidth="1"/>
    <col min="25" max="25" width="9.7109375" customWidth="1"/>
    <col min="26" max="26" width="13.7109375" customWidth="1"/>
    <col min="27" max="27" width="23.7109375" customWidth="1"/>
    <col min="28" max="28" width="9.7109375" customWidth="1"/>
    <col min="29" max="29" width="14.7109375" customWidth="1"/>
    <col min="30" max="30" width="15.7109375" customWidth="1"/>
    <col min="31" max="31" width="12.7109375" customWidth="1"/>
    <col min="32" max="32" width="14.7109375" customWidth="1"/>
    <col min="33" max="33" width="13.7109375" customWidth="1"/>
    <col min="34" max="34" width="13.7109375" customWidth="1"/>
    <col min="35" max="35" width="10.7109375" customWidth="1"/>
    <col min="36" max="36" width="9.7109375" customWidth="1"/>
    <col min="37" max="37" width="19.7109375" customWidth="1"/>
    <col min="38" max="38" width="11.7109375" customWidth="1"/>
    <col min="39" max="39" width="16.7109375" customWidth="1"/>
    <col min="40" max="40" width="18.7109375" customWidth="1"/>
    <col min="41" max="41" width="17.7109375" customWidth="1"/>
    <col min="42" max="42" width="8.7109375" customWidth="1"/>
    <col min="43" max="43" width="33.7109375" customWidth="1"/>
    <col min="44" max="44" width="11.7109375" customWidth="1"/>
    <col min="45" max="45" width="11.7109375" customWidth="1"/>
    <col min="46" max="46" width="9.7109375" customWidth="1"/>
    <col min="47" max="47" width="18.7109375" customWidth="1"/>
    <col min="48" max="48" width="9.7109375" customWidth="1"/>
    <col min="49" max="49" width="10.7109375" customWidth="1"/>
    <col min="50" max="50" width="13.7109375" customWidth="1"/>
    <col min="51" max="51" width="16.7109375" customWidth="1"/>
    <col min="52" max="52" width="16.7109375" customWidth="1"/>
    <col min="53" max="53" width="14.7109375" customWidth="1"/>
    <col min="54" max="54" width="21.7109375" customWidth="1"/>
    <col min="55" max="55" width="18.7109375" customWidth="1"/>
    <col min="56" max="56" width="18.7109375" customWidth="1"/>
    <col min="57" max="57" width="19.7109375" customWidth="1"/>
    <col min="58" max="58" width="22.7109375" customWidth="1"/>
    <col min="59" max="59" width="24.7109375" customWidth="1"/>
    <col min="60" max="60" width="21.7109375" customWidth="1"/>
    <col min="61" max="61" width="11.7109375" customWidth="1"/>
    <col min="62" max="62" width="20.7109375" customWidth="1"/>
    <col min="63" max="63" width="23.7109375" customWidth="1"/>
    <col min="64" max="64" width="19.7109375" customWidth="1"/>
    <col min="65" max="65" width="33.7109375" customWidth="1"/>
    <col min="66" max="66" width="17.7109375" customWidth="1"/>
    <col min="67" max="67" width="12.7109375" customWidth="1"/>
    <col min="68" max="68" width="7.7109375" customWidth="1"/>
    <col min="69" max="69" width="19.7109375" customWidth="1"/>
    <col min="70" max="70" width="8.7109375" customWidth="1"/>
    <col min="71" max="71" width="18.7109375" customWidth="1"/>
    <col min="72" max="72" width="30.7109375" customWidth="1"/>
    <col min="73" max="73" width="12.7109375" customWidth="1"/>
    <col min="74" max="74" width="21.7109375" customWidth="1"/>
    <col min="75" max="75" width="24.7109375" customWidth="1"/>
    <col min="76" max="76" width="19.7109375" customWidth="1"/>
    <col min="77" max="77" width="6.7109375" customWidth="1"/>
    <col min="78" max="78" width="22.7109375" customWidth="1"/>
    <col min="79" max="79" width="19.7109375" customWidth="1"/>
    <col min="80" max="80" width="16.7109375" customWidth="1"/>
    <col min="81" max="81" width="23.7109375" customWidth="1"/>
    <col min="82" max="82" width="6.7109375" customWidth="1"/>
    <col min="83" max="83" width="9.7109375" customWidth="1"/>
    <col min="84" max="84" width="18.7109375" customWidth="1"/>
    <col min="85" max="85" width="16.7109375" customWidth="1"/>
    <col min="86" max="86" width="17.7109375" customWidth="1"/>
    <col min="87" max="87" width="14.7109375" customWidth="1"/>
    <col min="88" max="88" width="21.7109375" customWidth="1"/>
    <col min="89" max="89" width="32.7109375" customWidth="1"/>
    <col min="90" max="90" width="18.7109375" customWidth="1"/>
    <col min="91" max="91" width="35.7109375" customWidth="1"/>
    <col min="92" max="92" width="13.7109375" customWidth="1"/>
    <col min="93" max="93" width="16.7109375" customWidth="1"/>
    <col min="94" max="94" width="7.7109375" customWidth="1"/>
    <col min="95" max="95" width="18.7109375" customWidth="1"/>
    <col min="96" max="96" width="14.7109375" customWidth="1"/>
    <col min="97" max="97" width="10.7109375" customWidth="1"/>
    <col min="98" max="98" width="17.7109375" customWidth="1"/>
    <col min="99" max="99" width="19.7109375" customWidth="1"/>
    <col min="100" max="100" width="17.7109375" customWidth="1"/>
    <col min="101" max="101" width="10.7109375" customWidth="1"/>
    <col min="102" max="102" width="25.7109375" customWidth="1"/>
    <col min="103" max="103" width="19.7109375" customWidth="1"/>
    <col min="104" max="104" width="34.7109375" customWidth="1"/>
    <col min="105" max="105" width="19.7109375" customWidth="1"/>
    <col min="106" max="106" width="21.7109375" customWidth="1"/>
    <col min="107" max="107" width="27.7109375" customWidth="1"/>
    <col min="108" max="108" width="16.7109375" customWidth="1"/>
    <col min="109" max="109" width="13.7109375" customWidth="1"/>
    <col min="110" max="110" width="19.7109375" customWidth="1"/>
    <col min="111" max="111" width="25.7109375" customWidth="1"/>
    <col min="112" max="112" width="19.7109375" customWidth="1"/>
    <col min="113" max="113" width="25.7109375" customWidth="1"/>
    <col min="114" max="114" width="21.7109375" customWidth="1"/>
    <col min="115" max="115" width="12.7109375" customWidth="1"/>
    <col min="116" max="116" width="15.7109375" customWidth="1"/>
    <col min="117" max="117" width="9.7109375" customWidth="1"/>
    <col min="118" max="118" width="19.7109375" customWidth="1"/>
    <col min="119" max="119" width="19.7109375" customWidth="1"/>
    <col min="120" max="120" width="21.7109375" customWidth="1"/>
    <col min="121" max="121" width="17.7109375" customWidth="1"/>
    <col min="122" max="122" width="15.7109375" customWidth="1"/>
    <col min="123" max="123" width="15.7109375" customWidth="1"/>
    <col min="124" max="124" width="17.7109375" customWidth="1"/>
    <col min="125" max="125" width="29.7109375" customWidth="1"/>
    <col min="126" max="126" width="19.7109375" customWidth="1"/>
    <col min="127" max="127" width="14.7109375" customWidth="1"/>
    <col min="128" max="128" width="15.7109375" customWidth="1"/>
    <col min="129" max="129" width="23.7109375" customWidth="1"/>
    <col min="130" max="130" width="14.7109375" customWidth="1"/>
    <col min="131" max="131" width="12.7109375" customWidth="1"/>
    <col min="132" max="132" width="15.7109375" customWidth="1"/>
    <col min="133" max="133" width="15.7109375" customWidth="1"/>
    <col min="134" max="134" width="15.7109375" customWidth="1"/>
    <col min="135" max="135" width="16.7109375" customWidth="1"/>
    <col min="136" max="136" width="11.7109375" customWidth="1"/>
    <col min="137" max="137" width="18.7109375" customWidth="1"/>
    <col min="138" max="138" width="15.7109375" customWidth="1"/>
    <col min="139" max="139" width="15.7109375" customWidth="1"/>
    <col min="140" max="140" width="14.7109375" customWidth="1"/>
    <col min="141" max="141" width="19.7109375" customWidth="1"/>
    <col min="142" max="142" width="17.7109375" customWidth="1"/>
    <col min="143" max="143" width="17.7109375" customWidth="1"/>
    <col min="144" max="144" width="18.7109375" customWidth="1"/>
    <col min="145" max="145" width="23.7109375" customWidth="1"/>
    <col min="146" max="146" width="56.7109375" customWidth="1"/>
    <col min="147" max="147" width="7.7109375" customWidth="1"/>
    <col min="148" max="148" width="13.7109375" customWidth="1"/>
    <col min="149" max="149" width="6.7109375" customWidth="1"/>
    <col min="150" max="150" width="17.7109375" customWidth="1"/>
    <col min="151" max="151" width="14.7109375" customWidth="1"/>
    <col min="152" max="152" width="18.7109375" customWidth="1"/>
    <col min="153" max="153" width="11.7109375" customWidth="1"/>
    <col min="154" max="154" width="11.7109375" customWidth="1"/>
    <col min="155" max="155" width="10.7109375" customWidth="1"/>
    <col min="156" max="156" width="19.7109375" customWidth="1"/>
    <col min="157" max="157" width="16.7109375" customWidth="1"/>
    <col min="158" max="158" width="17.7109375" customWidth="1"/>
    <col min="159" max="159" width="14.7109375" customWidth="1"/>
    <col min="160" max="160" width="19.7109375" customWidth="1"/>
    <col min="161" max="161" width="12.7109375" customWidth="1"/>
    <col min="162" max="162" width="16.7109375" customWidth="1"/>
    <col min="163" max="163" width="18.7109375" customWidth="1"/>
    <col min="164" max="164" width="17.7109375" customWidth="1"/>
    <col min="165" max="165" width="17.7109375" customWidth="1"/>
    <col min="166" max="166" width="15.7109375" customWidth="1"/>
    <col min="167" max="167" width="12.7109375" customWidth="1"/>
    <col min="168" max="168" width="18.7109375" customWidth="1"/>
    <col min="169" max="169" width="12.7109375" customWidth="1"/>
    <col min="170" max="170" width="19.7109375" customWidth="1"/>
    <col min="171" max="171" width="25.7109375" customWidth="1"/>
    <col min="172" max="172" width="19.7109375" customWidth="1"/>
    <col min="173" max="173" width="18.7109375" customWidth="1"/>
    <col min="174" max="174" width="18.7109375" customWidth="1"/>
    <col min="175" max="175" width="11.7109375" customWidth="1"/>
    <col min="176" max="176" width="11.7109375" customWidth="1"/>
    <col min="177" max="177" width="15.7109375" customWidth="1"/>
  </cols>
  <sheetData>
    <row r="1" spans="1:177">
      <c r="A1" s="5" t="s">
        <v>0</v>
      </c>
      <c r="B1" s="5" t="s">
        <v>230</v>
      </c>
      <c r="C1" s="5" t="s">
        <v>240</v>
      </c>
      <c r="D1" s="5" t="s">
        <v>235</v>
      </c>
      <c r="E1" s="5" t="s">
        <v>233</v>
      </c>
      <c r="F1" s="5" t="s">
        <v>237</v>
      </c>
      <c r="G1" s="5" t="s">
        <v>231</v>
      </c>
      <c r="H1" s="5" t="s">
        <v>232</v>
      </c>
      <c r="I1" s="5" t="s">
        <v>244</v>
      </c>
      <c r="J1" s="5" t="s">
        <v>249</v>
      </c>
      <c r="K1" s="5" t="s">
        <v>238</v>
      </c>
      <c r="L1" s="5" t="s">
        <v>247</v>
      </c>
      <c r="M1" s="5" t="s">
        <v>251</v>
      </c>
      <c r="N1" s="5" t="s">
        <v>255</v>
      </c>
      <c r="O1" s="5" t="s">
        <v>243</v>
      </c>
      <c r="P1" s="5" t="s">
        <v>248</v>
      </c>
      <c r="Q1" s="5" t="s">
        <v>245</v>
      </c>
      <c r="R1" s="5" t="s">
        <v>253</v>
      </c>
      <c r="S1" s="5" t="s">
        <v>254</v>
      </c>
      <c r="T1" s="5" t="s">
        <v>239</v>
      </c>
      <c r="U1" s="5" t="s">
        <v>234</v>
      </c>
      <c r="V1" s="5" t="s">
        <v>241</v>
      </c>
      <c r="W1" s="5" t="s">
        <v>236</v>
      </c>
      <c r="X1" s="5" t="s">
        <v>250</v>
      </c>
      <c r="Y1" s="5" t="s">
        <v>360</v>
      </c>
      <c r="Z1" s="5" t="s">
        <v>242</v>
      </c>
      <c r="AA1" s="5" t="s">
        <v>260</v>
      </c>
      <c r="AB1" s="5" t="s">
        <v>261</v>
      </c>
      <c r="AC1" s="5" t="s">
        <v>257</v>
      </c>
      <c r="AD1" s="5" t="s">
        <v>4</v>
      </c>
      <c r="AE1" s="5" t="s">
        <v>270</v>
      </c>
      <c r="AF1" s="5" t="s">
        <v>258</v>
      </c>
      <c r="AG1" s="5" t="s">
        <v>259</v>
      </c>
      <c r="AH1" s="5" t="s">
        <v>252</v>
      </c>
      <c r="AI1" s="5" t="s">
        <v>313</v>
      </c>
      <c r="AJ1" s="5" t="s">
        <v>271</v>
      </c>
      <c r="AK1" s="5" t="s">
        <v>246</v>
      </c>
      <c r="AL1" s="5" t="s">
        <v>299</v>
      </c>
      <c r="AM1" s="5" t="s">
        <v>306</v>
      </c>
      <c r="AN1" s="5" t="s">
        <v>283</v>
      </c>
      <c r="AO1" s="5" t="s">
        <v>587</v>
      </c>
      <c r="AP1" s="5" t="s">
        <v>284</v>
      </c>
      <c r="AQ1" s="5" t="s">
        <v>588</v>
      </c>
      <c r="AR1" s="5" t="s">
        <v>273</v>
      </c>
      <c r="AS1" s="5" t="s">
        <v>296</v>
      </c>
      <c r="AT1" s="5" t="s">
        <v>297</v>
      </c>
      <c r="AU1" s="5" t="s">
        <v>302</v>
      </c>
      <c r="AV1" s="5" t="s">
        <v>351</v>
      </c>
      <c r="AW1" s="5" t="s">
        <v>264</v>
      </c>
      <c r="AX1" s="5" t="s">
        <v>282</v>
      </c>
      <c r="AY1" s="5" t="s">
        <v>265</v>
      </c>
      <c r="AZ1" s="5" t="s">
        <v>589</v>
      </c>
      <c r="BA1" s="5" t="s">
        <v>307</v>
      </c>
      <c r="BB1" s="5" t="s">
        <v>308</v>
      </c>
      <c r="BC1" s="5" t="s">
        <v>590</v>
      </c>
      <c r="BD1" s="5" t="s">
        <v>269</v>
      </c>
      <c r="BE1" s="5" t="s">
        <v>287</v>
      </c>
      <c r="BF1" s="5" t="s">
        <v>310</v>
      </c>
      <c r="BG1" s="5" t="s">
        <v>401</v>
      </c>
      <c r="BH1" s="5" t="s">
        <v>289</v>
      </c>
      <c r="BI1" s="5" t="s">
        <v>290</v>
      </c>
      <c r="BJ1" s="5" t="s">
        <v>314</v>
      </c>
      <c r="BK1" s="5" t="s">
        <v>315</v>
      </c>
      <c r="BL1" s="5" t="s">
        <v>316</v>
      </c>
      <c r="BM1" s="5" t="s">
        <v>317</v>
      </c>
      <c r="BN1" s="5" t="s">
        <v>591</v>
      </c>
      <c r="BO1" s="5" t="s">
        <v>592</v>
      </c>
      <c r="BP1" s="5" t="s">
        <v>321</v>
      </c>
      <c r="BQ1" s="5" t="s">
        <v>272</v>
      </c>
      <c r="BR1" s="5" t="s">
        <v>593</v>
      </c>
      <c r="BS1" s="5" t="s">
        <v>295</v>
      </c>
      <c r="BT1" s="5" t="s">
        <v>594</v>
      </c>
      <c r="BU1" s="5" t="s">
        <v>595</v>
      </c>
      <c r="BV1" s="5" t="s">
        <v>274</v>
      </c>
      <c r="BW1" s="5" t="s">
        <v>275</v>
      </c>
      <c r="BX1" s="5" t="s">
        <v>276</v>
      </c>
      <c r="BY1" s="5" t="s">
        <v>329</v>
      </c>
      <c r="BZ1" s="5" t="s">
        <v>298</v>
      </c>
      <c r="CA1" s="5" t="s">
        <v>596</v>
      </c>
      <c r="CB1" s="5" t="s">
        <v>597</v>
      </c>
      <c r="CC1" s="5" t="s">
        <v>598</v>
      </c>
      <c r="CD1" s="5" t="s">
        <v>256</v>
      </c>
      <c r="CE1" s="5" t="s">
        <v>599</v>
      </c>
      <c r="CF1" s="5" t="s">
        <v>331</v>
      </c>
      <c r="CG1" s="5" t="s">
        <v>277</v>
      </c>
      <c r="CH1" s="5" t="s">
        <v>278</v>
      </c>
      <c r="CI1" s="5" t="s">
        <v>262</v>
      </c>
      <c r="CJ1" s="5" t="s">
        <v>279</v>
      </c>
      <c r="CK1" s="5" t="s">
        <v>600</v>
      </c>
      <c r="CL1" s="5" t="s">
        <v>280</v>
      </c>
      <c r="CM1" s="5" t="s">
        <v>263</v>
      </c>
      <c r="CN1" s="5" t="s">
        <v>601</v>
      </c>
      <c r="CO1" s="5" t="s">
        <v>602</v>
      </c>
      <c r="CP1" s="5" t="s">
        <v>603</v>
      </c>
      <c r="CQ1" s="5" t="s">
        <v>604</v>
      </c>
      <c r="CR1" s="5" t="s">
        <v>605</v>
      </c>
      <c r="CS1" s="5" t="s">
        <v>606</v>
      </c>
      <c r="CT1" s="5" t="s">
        <v>607</v>
      </c>
      <c r="CU1" s="5" t="s">
        <v>608</v>
      </c>
      <c r="CV1" s="5" t="s">
        <v>609</v>
      </c>
      <c r="CW1" s="5" t="s">
        <v>300</v>
      </c>
      <c r="CX1" s="5" t="s">
        <v>301</v>
      </c>
      <c r="CY1" s="5" t="s">
        <v>281</v>
      </c>
      <c r="CZ1" s="5" t="s">
        <v>343</v>
      </c>
      <c r="DA1" s="5" t="s">
        <v>610</v>
      </c>
      <c r="DB1" s="5" t="s">
        <v>344</v>
      </c>
      <c r="DC1" s="5" t="s">
        <v>611</v>
      </c>
      <c r="DD1" s="5" t="s">
        <v>612</v>
      </c>
      <c r="DE1" s="5" t="s">
        <v>613</v>
      </c>
      <c r="DF1" s="5" t="s">
        <v>614</v>
      </c>
      <c r="DG1" s="5" t="s">
        <v>615</v>
      </c>
      <c r="DH1" s="5" t="s">
        <v>616</v>
      </c>
      <c r="DI1" s="5" t="s">
        <v>617</v>
      </c>
      <c r="DJ1" s="5" t="s">
        <v>618</v>
      </c>
      <c r="DK1" s="5" t="s">
        <v>619</v>
      </c>
      <c r="DL1" s="5" t="s">
        <v>620</v>
      </c>
      <c r="DM1" s="5" t="s">
        <v>621</v>
      </c>
      <c r="DN1" s="5" t="s">
        <v>622</v>
      </c>
      <c r="DO1" s="5" t="s">
        <v>623</v>
      </c>
      <c r="DP1" s="5" t="s">
        <v>266</v>
      </c>
      <c r="DQ1" s="5" t="s">
        <v>305</v>
      </c>
      <c r="DR1" s="5" t="s">
        <v>359</v>
      </c>
      <c r="DS1" s="5" t="s">
        <v>624</v>
      </c>
      <c r="DT1" s="5" t="s">
        <v>268</v>
      </c>
      <c r="DU1" s="5" t="s">
        <v>625</v>
      </c>
      <c r="DV1" s="5" t="s">
        <v>626</v>
      </c>
      <c r="DW1" s="5" t="s">
        <v>627</v>
      </c>
      <c r="DX1" s="5" t="s">
        <v>628</v>
      </c>
      <c r="DY1" s="5" t="s">
        <v>629</v>
      </c>
      <c r="DZ1" s="5" t="s">
        <v>630</v>
      </c>
      <c r="EA1" s="5" t="s">
        <v>631</v>
      </c>
      <c r="EB1" s="5" t="s">
        <v>632</v>
      </c>
      <c r="EC1" s="5" t="s">
        <v>633</v>
      </c>
      <c r="ED1" s="5" t="s">
        <v>285</v>
      </c>
      <c r="EE1" s="5" t="s">
        <v>634</v>
      </c>
      <c r="EF1" s="5" t="s">
        <v>286</v>
      </c>
      <c r="EG1" s="5" t="s">
        <v>635</v>
      </c>
      <c r="EH1" s="5" t="s">
        <v>636</v>
      </c>
      <c r="EI1" s="5" t="s">
        <v>637</v>
      </c>
      <c r="EJ1" s="5" t="s">
        <v>288</v>
      </c>
      <c r="EK1" s="5" t="s">
        <v>638</v>
      </c>
      <c r="EL1" s="5" t="s">
        <v>639</v>
      </c>
      <c r="EM1" s="5" t="s">
        <v>311</v>
      </c>
      <c r="EN1" s="5" t="s">
        <v>640</v>
      </c>
      <c r="EO1" s="5" t="s">
        <v>641</v>
      </c>
      <c r="EP1" s="5" t="s">
        <v>642</v>
      </c>
      <c r="EQ1" s="5" t="s">
        <v>291</v>
      </c>
      <c r="ER1" s="5" t="s">
        <v>292</v>
      </c>
      <c r="ES1" s="5" t="s">
        <v>643</v>
      </c>
      <c r="ET1" s="5" t="s">
        <v>312</v>
      </c>
      <c r="EU1" s="5" t="s">
        <v>410</v>
      </c>
      <c r="EV1" s="5" t="s">
        <v>644</v>
      </c>
      <c r="EW1" s="5" t="s">
        <v>419</v>
      </c>
      <c r="EX1" s="5" t="s">
        <v>293</v>
      </c>
      <c r="EY1" s="5" t="s">
        <v>421</v>
      </c>
      <c r="EZ1" s="5" t="s">
        <v>645</v>
      </c>
      <c r="FA1" s="5" t="s">
        <v>646</v>
      </c>
      <c r="FB1" s="5" t="s">
        <v>647</v>
      </c>
      <c r="FC1" s="5" t="s">
        <v>648</v>
      </c>
      <c r="FD1" s="5" t="s">
        <v>649</v>
      </c>
      <c r="FE1" s="5" t="s">
        <v>650</v>
      </c>
      <c r="FF1" s="5" t="s">
        <v>651</v>
      </c>
      <c r="FG1" s="5" t="s">
        <v>652</v>
      </c>
      <c r="FH1" s="5" t="s">
        <v>320</v>
      </c>
      <c r="FI1" s="5" t="s">
        <v>653</v>
      </c>
      <c r="FJ1" s="5" t="s">
        <v>654</v>
      </c>
      <c r="FK1" s="5" t="s">
        <v>655</v>
      </c>
      <c r="FL1" s="5" t="s">
        <v>656</v>
      </c>
      <c r="FM1" s="5" t="s">
        <v>657</v>
      </c>
      <c r="FN1" s="5" t="s">
        <v>658</v>
      </c>
      <c r="FO1" s="5" t="s">
        <v>659</v>
      </c>
      <c r="FP1" s="5" t="s">
        <v>660</v>
      </c>
      <c r="FQ1" s="5" t="s">
        <v>661</v>
      </c>
      <c r="FR1" s="5" t="s">
        <v>662</v>
      </c>
      <c r="FS1" s="5" t="s">
        <v>294</v>
      </c>
      <c r="FT1" s="5" t="s">
        <v>432</v>
      </c>
      <c r="FU1" s="5" t="s">
        <v>663</v>
      </c>
    </row>
    <row r="2" spans="1:177">
      <c r="A2" s="7" t="s">
        <v>89</v>
      </c>
      <c r="C2" s="8" t="s">
        <v>438</v>
      </c>
      <c r="D2" s="8" t="s">
        <v>435</v>
      </c>
      <c r="E2" s="8" t="s">
        <v>433</v>
      </c>
      <c r="F2" s="8" t="s">
        <v>436</v>
      </c>
      <c r="I2" s="8" t="s">
        <v>440</v>
      </c>
      <c r="J2" s="8" t="s">
        <v>466</v>
      </c>
      <c r="L2" s="8" t="s">
        <v>441</v>
      </c>
      <c r="M2" s="8" t="s">
        <v>443</v>
      </c>
      <c r="N2" s="8" t="s">
        <v>445</v>
      </c>
      <c r="T2" s="8" t="s">
        <v>664</v>
      </c>
      <c r="U2" s="8" t="s">
        <v>434</v>
      </c>
      <c r="Z2" s="8" t="s">
        <v>439</v>
      </c>
      <c r="AB2" s="8" t="s">
        <v>665</v>
      </c>
      <c r="AD2" s="8" t="s">
        <v>11</v>
      </c>
      <c r="AF2" s="8" t="s">
        <v>446</v>
      </c>
      <c r="AG2" s="8" t="s">
        <v>441</v>
      </c>
      <c r="AH2" s="8" t="s">
        <v>444</v>
      </c>
      <c r="AJ2" s="8" t="s">
        <v>449</v>
      </c>
      <c r="AP2" s="8" t="s">
        <v>454</v>
      </c>
      <c r="AR2" s="8" t="s">
        <v>666</v>
      </c>
      <c r="AS2" s="8" t="s">
        <v>457</v>
      </c>
      <c r="AT2" s="8" t="s">
        <v>458</v>
      </c>
      <c r="BA2" s="8" t="s">
        <v>461</v>
      </c>
      <c r="BH2" s="8" t="s">
        <v>455</v>
      </c>
      <c r="BP2" s="8" t="s">
        <v>456</v>
      </c>
      <c r="BS2" s="8" t="s">
        <v>91</v>
      </c>
      <c r="BV2" s="8" t="s">
        <v>667</v>
      </c>
      <c r="BW2" s="8" t="s">
        <v>452</v>
      </c>
      <c r="BX2" s="8" t="s">
        <v>453</v>
      </c>
      <c r="BZ2" s="8" t="s">
        <v>452</v>
      </c>
      <c r="CW2" s="8" t="s">
        <v>668</v>
      </c>
      <c r="CX2" s="8" t="s">
        <v>669</v>
      </c>
      <c r="DQ2" s="8" t="s">
        <v>460</v>
      </c>
      <c r="DT2" s="8" t="s">
        <v>448</v>
      </c>
      <c r="EM2" s="8" t="s">
        <v>462</v>
      </c>
      <c r="EX2" s="8" t="s">
        <v>8</v>
      </c>
      <c r="FH2" s="8" t="s">
        <v>463</v>
      </c>
      <c r="FS2" s="8" t="s">
        <v>456</v>
      </c>
      <c r="FT2" s="8" t="s">
        <v>670</v>
      </c>
    </row>
    <row r="3" spans="1:177">
      <c r="A3" s="10" t="s">
        <v>93</v>
      </c>
      <c r="C3" s="11" t="s">
        <v>671</v>
      </c>
      <c r="D3" s="11" t="s">
        <v>672</v>
      </c>
      <c r="E3" s="11" t="s">
        <v>433</v>
      </c>
      <c r="F3" s="11" t="s">
        <v>436</v>
      </c>
      <c r="I3" s="11" t="s">
        <v>440</v>
      </c>
      <c r="J3" s="11" t="s">
        <v>673</v>
      </c>
      <c r="M3" s="11" t="s">
        <v>553</v>
      </c>
      <c r="N3" s="11" t="s">
        <v>554</v>
      </c>
      <c r="Q3" s="11" t="s">
        <v>674</v>
      </c>
      <c r="T3" s="11" t="s">
        <v>675</v>
      </c>
      <c r="U3" s="11" t="s">
        <v>434</v>
      </c>
      <c r="AC3" s="11" t="s">
        <v>676</v>
      </c>
      <c r="AD3" s="11" t="s">
        <v>677</v>
      </c>
      <c r="AI3" s="11" t="s">
        <v>678</v>
      </c>
      <c r="AP3" s="11" t="s">
        <v>679</v>
      </c>
      <c r="AQ3" s="11" t="s">
        <v>680</v>
      </c>
      <c r="BH3" s="11" t="s">
        <v>557</v>
      </c>
      <c r="BO3" s="11" t="s">
        <v>681</v>
      </c>
      <c r="BU3" s="11" t="s">
        <v>682</v>
      </c>
      <c r="BY3" s="11" t="s">
        <v>683</v>
      </c>
      <c r="CQ3" s="11" t="s">
        <v>684</v>
      </c>
      <c r="CR3" s="11" t="s">
        <v>676</v>
      </c>
      <c r="DJ3" s="11" t="s">
        <v>685</v>
      </c>
      <c r="DL3" s="11" t="s">
        <v>686</v>
      </c>
      <c r="DR3" s="11" t="s">
        <v>687</v>
      </c>
      <c r="DV3" s="11" t="s">
        <v>688</v>
      </c>
      <c r="DZ3" s="11" t="s">
        <v>689</v>
      </c>
      <c r="EA3" s="11" t="s">
        <v>690</v>
      </c>
      <c r="EB3" s="11" t="s">
        <v>691</v>
      </c>
      <c r="EC3" s="11" t="s">
        <v>692</v>
      </c>
      <c r="EN3" s="11" t="s">
        <v>693</v>
      </c>
      <c r="ES3" s="11" t="s">
        <v>694</v>
      </c>
      <c r="FA3" s="11" t="s">
        <v>695</v>
      </c>
      <c r="FD3" s="11" t="s">
        <v>454</v>
      </c>
      <c r="FF3" s="11" t="s">
        <v>696</v>
      </c>
      <c r="FK3" s="11" t="s">
        <v>697</v>
      </c>
    </row>
    <row r="4" spans="1:177">
      <c r="A4" s="7" t="s">
        <v>97</v>
      </c>
      <c r="C4" s="8" t="s">
        <v>438</v>
      </c>
      <c r="D4" s="8" t="s">
        <v>698</v>
      </c>
      <c r="E4" s="8" t="s">
        <v>433</v>
      </c>
      <c r="F4" s="8" t="s">
        <v>436</v>
      </c>
      <c r="I4" s="8" t="s">
        <v>440</v>
      </c>
      <c r="J4" s="8" t="s">
        <v>441</v>
      </c>
      <c r="L4" s="8" t="s">
        <v>441</v>
      </c>
      <c r="M4" s="8" t="s">
        <v>443</v>
      </c>
      <c r="N4" s="8" t="s">
        <v>445</v>
      </c>
      <c r="T4" s="8" t="s">
        <v>675</v>
      </c>
      <c r="Z4" s="8" t="s">
        <v>465</v>
      </c>
      <c r="AB4" s="8" t="s">
        <v>699</v>
      </c>
      <c r="AD4" s="8" t="s">
        <v>700</v>
      </c>
      <c r="AF4" s="8" t="s">
        <v>438</v>
      </c>
      <c r="AG4" s="8" t="s">
        <v>441</v>
      </c>
      <c r="AH4" s="8" t="s">
        <v>444</v>
      </c>
      <c r="AI4" s="8" t="s">
        <v>701</v>
      </c>
      <c r="AP4" s="8" t="s">
        <v>454</v>
      </c>
      <c r="AS4" s="8" t="s">
        <v>457</v>
      </c>
      <c r="AT4" s="8" t="s">
        <v>458</v>
      </c>
      <c r="AV4" s="8" t="s">
        <v>702</v>
      </c>
      <c r="BA4" s="8" t="s">
        <v>703</v>
      </c>
      <c r="CP4" s="8" t="s">
        <v>704</v>
      </c>
      <c r="CT4" s="8" t="s">
        <v>704</v>
      </c>
      <c r="CV4" s="8" t="s">
        <v>705</v>
      </c>
      <c r="DC4" s="8" t="s">
        <v>452</v>
      </c>
      <c r="DD4" s="8" t="s">
        <v>454</v>
      </c>
      <c r="DM4" s="8" t="s">
        <v>706</v>
      </c>
      <c r="DN4" s="8" t="s">
        <v>707</v>
      </c>
      <c r="DO4" s="8" t="s">
        <v>708</v>
      </c>
      <c r="EL4" s="8" t="s">
        <v>709</v>
      </c>
      <c r="EU4" s="8" t="s">
        <v>710</v>
      </c>
      <c r="EY4" s="8" t="s">
        <v>514</v>
      </c>
      <c r="FJ4" s="8" t="s">
        <v>711</v>
      </c>
    </row>
    <row r="5" spans="1:177">
      <c r="A5" s="10" t="s">
        <v>102</v>
      </c>
      <c r="B5" s="11" t="s">
        <v>515</v>
      </c>
      <c r="C5" s="11" t="s">
        <v>521</v>
      </c>
      <c r="D5" s="11" t="s">
        <v>712</v>
      </c>
      <c r="E5" s="11" t="s">
        <v>433</v>
      </c>
      <c r="F5" s="11" t="s">
        <v>436</v>
      </c>
      <c r="I5" s="11" t="s">
        <v>520</v>
      </c>
      <c r="L5" s="11" t="s">
        <v>521</v>
      </c>
      <c r="U5" s="11" t="s">
        <v>516</v>
      </c>
      <c r="X5" s="11" t="s">
        <v>534</v>
      </c>
      <c r="AW5" s="11" t="s">
        <v>511</v>
      </c>
      <c r="BI5" s="11" t="s">
        <v>527</v>
      </c>
      <c r="CD5" s="11" t="s">
        <v>509</v>
      </c>
      <c r="CG5" s="11" t="s">
        <v>713</v>
      </c>
      <c r="CH5" s="11" t="s">
        <v>524</v>
      </c>
      <c r="CM5" s="11" t="s">
        <v>714</v>
      </c>
      <c r="ED5" s="11" t="s">
        <v>715</v>
      </c>
      <c r="EF5" s="11" t="s">
        <v>526</v>
      </c>
      <c r="EQ5" s="11" t="s">
        <v>528</v>
      </c>
      <c r="ER5" s="11" t="s">
        <v>528</v>
      </c>
    </row>
    <row r="6" spans="1:177">
      <c r="A6" s="7" t="s">
        <v>107</v>
      </c>
      <c r="B6" s="8" t="s">
        <v>716</v>
      </c>
      <c r="C6" s="8" t="s">
        <v>717</v>
      </c>
      <c r="D6" s="8" t="s">
        <v>718</v>
      </c>
      <c r="E6" s="8" t="s">
        <v>433</v>
      </c>
      <c r="F6" s="8" t="s">
        <v>719</v>
      </c>
      <c r="J6" s="8" t="s">
        <v>720</v>
      </c>
      <c r="X6" s="8" t="s">
        <v>721</v>
      </c>
      <c r="AD6" s="8" t="s">
        <v>722</v>
      </c>
      <c r="AW6" s="8" t="s">
        <v>723</v>
      </c>
      <c r="BI6" s="8" t="s">
        <v>724</v>
      </c>
      <c r="CE6" s="8" t="s">
        <v>725</v>
      </c>
      <c r="CF6" s="8" t="s">
        <v>726</v>
      </c>
      <c r="DA6" s="8" t="s">
        <v>727</v>
      </c>
      <c r="EE6" s="8" t="s">
        <v>728</v>
      </c>
      <c r="EZ6" s="8" t="s">
        <v>729</v>
      </c>
      <c r="FI6" s="8" t="s">
        <v>730</v>
      </c>
      <c r="FL6" s="8" t="s">
        <v>731</v>
      </c>
      <c r="FM6" s="8" t="s">
        <v>732</v>
      </c>
    </row>
    <row r="7" spans="1:177">
      <c r="A7" s="10" t="s">
        <v>112</v>
      </c>
      <c r="C7" s="11" t="s">
        <v>438</v>
      </c>
      <c r="D7" s="11" t="s">
        <v>733</v>
      </c>
      <c r="E7" s="11" t="s">
        <v>433</v>
      </c>
      <c r="F7" s="11" t="s">
        <v>436</v>
      </c>
      <c r="I7" s="11" t="s">
        <v>440</v>
      </c>
      <c r="J7" s="11" t="s">
        <v>441</v>
      </c>
      <c r="L7" s="11" t="s">
        <v>441</v>
      </c>
      <c r="M7" s="11" t="s">
        <v>539</v>
      </c>
      <c r="N7" s="11" t="s">
        <v>445</v>
      </c>
      <c r="Q7" s="11" t="s">
        <v>538</v>
      </c>
      <c r="T7" s="11" t="s">
        <v>734</v>
      </c>
      <c r="U7" s="11" t="s">
        <v>472</v>
      </c>
      <c r="AA7" s="11" t="s">
        <v>540</v>
      </c>
      <c r="AB7" s="11" t="s">
        <v>541</v>
      </c>
      <c r="AE7" s="11" t="s">
        <v>542</v>
      </c>
      <c r="AF7" s="11" t="s">
        <v>735</v>
      </c>
      <c r="AG7" s="11" t="s">
        <v>441</v>
      </c>
      <c r="AH7" s="11" t="s">
        <v>444</v>
      </c>
      <c r="AI7" s="11" t="s">
        <v>736</v>
      </c>
      <c r="AJ7" s="11" t="s">
        <v>543</v>
      </c>
      <c r="AL7" s="11" t="s">
        <v>544</v>
      </c>
      <c r="AU7" s="11" t="s">
        <v>545</v>
      </c>
      <c r="BJ7" s="11" t="s">
        <v>547</v>
      </c>
      <c r="BK7" s="11" t="s">
        <v>452</v>
      </c>
      <c r="BL7" s="11" t="s">
        <v>544</v>
      </c>
      <c r="BM7" s="11" t="s">
        <v>737</v>
      </c>
    </row>
    <row r="8" spans="1:177">
      <c r="A8" s="7" t="s">
        <v>116</v>
      </c>
      <c r="C8" s="8" t="s">
        <v>438</v>
      </c>
      <c r="D8" s="8" t="s">
        <v>738</v>
      </c>
      <c r="E8" s="8" t="s">
        <v>433</v>
      </c>
      <c r="F8" s="8" t="s">
        <v>436</v>
      </c>
      <c r="I8" s="8" t="s">
        <v>440</v>
      </c>
      <c r="J8" s="8" t="s">
        <v>441</v>
      </c>
      <c r="L8" s="8" t="s">
        <v>441</v>
      </c>
      <c r="M8" s="8" t="s">
        <v>539</v>
      </c>
      <c r="N8" s="8" t="s">
        <v>445</v>
      </c>
      <c r="Q8" s="8" t="s">
        <v>538</v>
      </c>
      <c r="T8" s="8" t="s">
        <v>734</v>
      </c>
      <c r="U8" s="8" t="s">
        <v>472</v>
      </c>
      <c r="Z8" s="8" t="s">
        <v>439</v>
      </c>
      <c r="AA8" s="8" t="s">
        <v>540</v>
      </c>
      <c r="AB8" s="8" t="s">
        <v>541</v>
      </c>
      <c r="AE8" s="8" t="s">
        <v>542</v>
      </c>
      <c r="AF8" s="8" t="s">
        <v>446</v>
      </c>
      <c r="AG8" s="8" t="s">
        <v>441</v>
      </c>
      <c r="AH8" s="8" t="s">
        <v>444</v>
      </c>
      <c r="AI8" s="8" t="s">
        <v>739</v>
      </c>
      <c r="AJ8" s="8" t="s">
        <v>543</v>
      </c>
      <c r="AL8" s="8" t="s">
        <v>544</v>
      </c>
      <c r="AU8" s="8" t="s">
        <v>545</v>
      </c>
      <c r="BJ8" s="8" t="s">
        <v>547</v>
      </c>
      <c r="BK8" s="8" t="s">
        <v>452</v>
      </c>
      <c r="BL8" s="8" t="s">
        <v>544</v>
      </c>
      <c r="BM8" s="8" t="s">
        <v>548</v>
      </c>
    </row>
    <row r="9" spans="1:177">
      <c r="A9" s="10" t="s">
        <v>120</v>
      </c>
      <c r="C9" s="11" t="s">
        <v>740</v>
      </c>
      <c r="D9" s="11" t="s">
        <v>741</v>
      </c>
      <c r="E9" s="11" t="s">
        <v>433</v>
      </c>
      <c r="F9" s="11" t="s">
        <v>436</v>
      </c>
      <c r="I9" s="11" t="s">
        <v>440</v>
      </c>
      <c r="J9" s="11" t="s">
        <v>742</v>
      </c>
      <c r="L9" s="11" t="s">
        <v>742</v>
      </c>
      <c r="M9" s="11" t="s">
        <v>553</v>
      </c>
      <c r="N9" s="11" t="s">
        <v>554</v>
      </c>
      <c r="Z9" s="11" t="s">
        <v>502</v>
      </c>
      <c r="AJ9" s="11" t="s">
        <v>742</v>
      </c>
      <c r="AQ9" s="11" t="s">
        <v>680</v>
      </c>
      <c r="AR9" s="11" t="s">
        <v>743</v>
      </c>
      <c r="BP9" s="11" t="s">
        <v>744</v>
      </c>
      <c r="CC9" s="11" t="s">
        <v>745</v>
      </c>
      <c r="EO9" s="11" t="s">
        <v>444</v>
      </c>
      <c r="FN9" s="11" t="s">
        <v>746</v>
      </c>
      <c r="FO9" s="11" t="s">
        <v>747</v>
      </c>
      <c r="FP9" s="11" t="s">
        <v>744</v>
      </c>
      <c r="FQ9" s="11" t="s">
        <v>748</v>
      </c>
      <c r="FR9" s="11" t="s">
        <v>744</v>
      </c>
    </row>
    <row r="10" spans="1:177">
      <c r="A10" s="7" t="s">
        <v>124</v>
      </c>
      <c r="C10" s="8" t="s">
        <v>749</v>
      </c>
      <c r="D10" s="8" t="s">
        <v>750</v>
      </c>
      <c r="E10" s="8" t="s">
        <v>433</v>
      </c>
      <c r="F10" s="8" t="s">
        <v>436</v>
      </c>
      <c r="I10" s="8" t="s">
        <v>440</v>
      </c>
      <c r="J10" s="8" t="s">
        <v>751</v>
      </c>
      <c r="L10" s="8" t="s">
        <v>751</v>
      </c>
      <c r="M10" s="8" t="s">
        <v>752</v>
      </c>
      <c r="N10" s="8" t="s">
        <v>753</v>
      </c>
      <c r="T10" s="8" t="s">
        <v>754</v>
      </c>
      <c r="U10" s="8" t="s">
        <v>472</v>
      </c>
      <c r="Z10" s="8" t="s">
        <v>439</v>
      </c>
      <c r="AB10" s="8" t="s">
        <v>755</v>
      </c>
      <c r="AL10" s="8" t="s">
        <v>461</v>
      </c>
      <c r="AV10" s="8" t="s">
        <v>559</v>
      </c>
      <c r="AZ10" s="8" t="s">
        <v>756</v>
      </c>
      <c r="BR10" s="8" t="s">
        <v>755</v>
      </c>
      <c r="CO10" s="8" t="s">
        <v>757</v>
      </c>
      <c r="DE10" s="8" t="s">
        <v>559</v>
      </c>
      <c r="DG10" s="8" t="s">
        <v>758</v>
      </c>
      <c r="DI10" s="8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6" t="s">
        <v>760</v>
      </c>
    </row>
    <row r="2" spans="1:1">
      <c r="A2" s="7" t="s">
        <v>761</v>
      </c>
    </row>
    <row r="3" spans="1:1">
      <c r="A3" s="8" t="s">
        <v>762</v>
      </c>
    </row>
    <row r="4" spans="1:1">
      <c r="A4" s="35" t="s">
        <v>763</v>
      </c>
    </row>
    <row r="6" spans="1:1">
      <c r="A6" t="s">
        <v>764</v>
      </c>
    </row>
    <row r="7" spans="1:1">
      <c r="A7" s="36" t="s">
        <v>765</v>
      </c>
    </row>
    <row r="8" spans="1:1">
      <c r="A8" s="37" t="s">
        <v>766</v>
      </c>
    </row>
    <row r="9" spans="1:1">
      <c r="A9" s="38" t="s">
        <v>767</v>
      </c>
    </row>
    <row r="10" spans="1:1">
      <c r="A10" s="39" t="s">
        <v>768</v>
      </c>
    </row>
    <row r="11" spans="1:1">
      <c r="A11" s="40" t="s">
        <v>769</v>
      </c>
    </row>
    <row r="12" spans="1:1">
      <c r="A12" s="41" t="s">
        <v>770</v>
      </c>
    </row>
    <row r="13" spans="1:1">
      <c r="A13" s="42" t="s">
        <v>771</v>
      </c>
    </row>
    <row r="14" spans="1:1">
      <c r="A14" s="28" t="s">
        <v>772</v>
      </c>
    </row>
    <row r="15" spans="1:1">
      <c r="A15" s="2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BoM</vt:lpstr>
      <vt:lpstr>DNF</vt:lpstr>
      <vt:lpstr>Costs</vt:lpstr>
      <vt:lpstr>Costs (DNF)</vt:lpstr>
      <vt:lpstr>Specs</vt:lpstr>
      <vt:lpstr>Specs (DNF)</vt:lpstr>
      <vt:lpstr>Colors</vt:lpstr>
      <vt:lpstr>'Costs (DNF)'!BoardQty</vt:lpstr>
      <vt:lpstr>'Costs'!BoardQty</vt:lpstr>
      <vt:lpstr>BoM!Print_Titles</vt:lpstr>
      <vt:lpstr>DNF!Print_Titles</vt:lpstr>
      <vt:lpstr>'Costs (DNF)'!PURCHASE_DESCRIPTION</vt:lpstr>
      <vt:lpstr>'Costs'!PURCHASE_DESCRIPTION</vt:lpstr>
      <vt:lpstr>'Costs (DNF)'!TotalCost</vt:lpstr>
      <vt:lpstr>'Costs'!TotalCost</vt:lpstr>
      <vt:lpstr>'Costs (DNF)'!USD_GBP</vt:lpstr>
      <vt:lpstr>'Costs'!USD_GBP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2022-12-15T14:20:39Z</dcterms:created>
  <dcterms:modified xsi:type="dcterms:W3CDTF">2022-12-15T14:20:39Z</dcterms:modified>
</cp:coreProperties>
</file>