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ul\Documents\Soaring\Excel Files\POLARS\"/>
    </mc:Choice>
  </mc:AlternateContent>
  <xr:revisionPtr revIDLastSave="0" documentId="13_ncr:1_{45123E65-CB5A-4470-8354-5BA4C35C628B}" xr6:coauthVersionLast="45" xr6:coauthVersionMax="45" xr10:uidLastSave="{00000000-0000-0000-0000-000000000000}"/>
  <bookViews>
    <workbookView xWindow="1580" yWindow="2060" windowWidth="23910" windowHeight="1814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AllUpWeightWetKg">Sheet1!$B$36</definedName>
    <definedName name="AllUpWeightWetLb">Sheet1!$H$36</definedName>
    <definedName name="aN">Sheet1!$B$21</definedName>
    <definedName name="aNprime">Sheet1!$B$49</definedName>
    <definedName name="aR">Sheet1!$B$79</definedName>
    <definedName name="aRprime">Sheet1!$B$82</definedName>
    <definedName name="Ballast">Sheet1!$B$30</definedName>
    <definedName name="bN">Sheet1!$B$22</definedName>
    <definedName name="bNprime">Sheet1!$B$50</definedName>
    <definedName name="bR">Sheet1!$B$80</definedName>
    <definedName name="bRprime">Sheet1!$B$83</definedName>
    <definedName name="cN">Sheet1!$B$23</definedName>
    <definedName name="cNprime">Sheet1!$B$51</definedName>
    <definedName name="cR">Sheet1!$B$81</definedName>
    <definedName name="cRprime">Sheet1!$B$84</definedName>
    <definedName name="E1C">Sheet1!$B$10</definedName>
    <definedName name="E1Cprime">Sheet1!$B$38</definedName>
    <definedName name="Eairmass">Sheet1!$B$66</definedName>
    <definedName name="Eground">Sheet1!$B$67</definedName>
    <definedName name="FtToM">Sheet1!$B$96</definedName>
    <definedName name="FtToSmi">Sheet1!$B$104</definedName>
    <definedName name="GallonToKg">Sheet1!$B$105</definedName>
    <definedName name="GallonToLb">Sheet1!$B$107</definedName>
    <definedName name="Glider">Sheet1!$B$25</definedName>
    <definedName name="HWind">Sheet1!$E$58</definedName>
    <definedName name="ID">Sheet1!$B$26</definedName>
    <definedName name="KgToGallon">Sheet1!$B$106</definedName>
    <definedName name="KgToLb">Sheet1!$B$109</definedName>
    <definedName name="KmToNmi">Sheet1!$B$100</definedName>
    <definedName name="KmToSmi">Sheet1!$B$97</definedName>
    <definedName name="KphToKts">Sheet1!$B$90</definedName>
    <definedName name="KphToMps">Sheet1!$B$94</definedName>
    <definedName name="KtsToKph">Sheet1!$B$89</definedName>
    <definedName name="KtsToMps">Sheet1!$B$91</definedName>
    <definedName name="LbToGallon">Sheet1!$B$108</definedName>
    <definedName name="LbToKg">Sheet1!$B$110</definedName>
    <definedName name="Max_Water">Sheet1!$B$29</definedName>
    <definedName name="MaxAllUpWeight">Sheet1!$B$31</definedName>
    <definedName name="MC">Sheet1!$E$56</definedName>
    <definedName name="MCwind">Sheet1!$E$62</definedName>
    <definedName name="Method">Sheet1!$K$74</definedName>
    <definedName name="MpsToKph">Sheet1!$B$93</definedName>
    <definedName name="MpsToKts">Sheet1!$B$92</definedName>
    <definedName name="MToFt">Sheet1!$B$95</definedName>
    <definedName name="NmiToKm">Sheet1!$B$99</definedName>
    <definedName name="NmiToSmi">Sheet1!$B$101</definedName>
    <definedName name="_xlnm.Print_Area" localSheetId="0">Sheet1!$A$1:$I$68,Sheet1!$AE$1:$AR$156</definedName>
    <definedName name="SlopeRedLine">Sheet1!$B$86</definedName>
    <definedName name="SmiToFt">Sheet1!$B$103</definedName>
    <definedName name="SmiToKm">Sheet1!$B$98</definedName>
    <definedName name="SmiToNmi">Sheet1!$B$102</definedName>
    <definedName name="SqrRtRatio">Sheet1!$B$71</definedName>
    <definedName name="V1C">Sheet1!$B$11</definedName>
    <definedName name="V1CPrime">Sheet1!$B$39</definedName>
    <definedName name="V1Nk">Sheet1!$B$73</definedName>
    <definedName name="V1Nm">Sheet1!$E$73</definedName>
    <definedName name="V1R">Sheet1!$B$14</definedName>
    <definedName name="V1Rprime">Sheet1!$B$42</definedName>
    <definedName name="V2C">Sheet1!$B$12</definedName>
    <definedName name="V2Cprime">Sheet1!$B$40</definedName>
    <definedName name="V2Nk">Sheet1!$B$75</definedName>
    <definedName name="V2Nm">Sheet1!$E$75</definedName>
    <definedName name="V2R">Sheet1!$B$16</definedName>
    <definedName name="V2Rprime">Sheet1!$B$44</definedName>
    <definedName name="V3Nk">Sheet1!$B$77</definedName>
    <definedName name="V3Nm">Sheet1!$E$77</definedName>
    <definedName name="V3R">Sheet1!$B$18</definedName>
    <definedName name="V3Rprime">Sheet1!$B$46</definedName>
    <definedName name="Vcc">Sheet1!$E$64</definedName>
    <definedName name="Vstf">Sheet1!$E$59</definedName>
    <definedName name="W1Nk">Sheet1!$E$74</definedName>
    <definedName name="W1Nm">Sheet1!$B$74</definedName>
    <definedName name="W1R">Sheet1!$E$15</definedName>
    <definedName name="W1Rprimek">Sheet1!$E$43</definedName>
    <definedName name="W1Rprimem">Sheet1!$B$43</definedName>
    <definedName name="W2C">Sheet1!$E$72</definedName>
    <definedName name="W2Nk">Sheet1!$E$76</definedName>
    <definedName name="W2Nm">Sheet1!$B$76</definedName>
    <definedName name="W2R">Sheet1!$E$17</definedName>
    <definedName name="W2Rprimek">Sheet1!$E$45</definedName>
    <definedName name="W2Rprimem">Sheet1!$B$45</definedName>
    <definedName name="W3Nk">Sheet1!$E$78</definedName>
    <definedName name="W3Nm">Sheet1!$B$78</definedName>
    <definedName name="W3R">Sheet1!$E$19</definedName>
    <definedName name="W3Rprimek">Sheet1!$E$47</definedName>
    <definedName name="W3Rprimem">Sheet1!$B$47</definedName>
    <definedName name="WeightGlider">Sheet1!$B$28</definedName>
    <definedName name="WeightPolar">Sheet1!$B$27</definedName>
    <definedName name="WingArea">Sheet1!$B$32</definedName>
    <definedName name="WingLoadingKg">Sheet1!$B$35</definedName>
    <definedName name="WingLoadingLb">Sheet1!$H$35</definedName>
    <definedName name="Wm">Sheet1!$E$57</definedName>
    <definedName name="Wstf">Sheet1!$E$60</definedName>
    <definedName name="Wtotal">Sheet1!$E$61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B156" i="1" l="1"/>
  <c r="CB155" i="1" s="1"/>
  <c r="CC156" i="1"/>
  <c r="CC155" i="1" s="1"/>
  <c r="CD156" i="1"/>
  <c r="CD155" i="1" s="1"/>
  <c r="CE156" i="1"/>
  <c r="CE155" i="1" s="1"/>
  <c r="CG156" i="1"/>
  <c r="CG155" i="1" s="1"/>
  <c r="CH156" i="1"/>
  <c r="CH155" i="1" s="1"/>
  <c r="CI156" i="1"/>
  <c r="CI155" i="1" s="1"/>
  <c r="CJ156" i="1"/>
  <c r="CJ155" i="1" s="1"/>
  <c r="CF155" i="1"/>
  <c r="CF156" i="1"/>
  <c r="CB142" i="1"/>
  <c r="CC142" i="1"/>
  <c r="CB143" i="1"/>
  <c r="CC143" i="1"/>
  <c r="CD143" i="1"/>
  <c r="CD142" i="1" s="1"/>
  <c r="CE143" i="1"/>
  <c r="CE142" i="1" s="1"/>
  <c r="CG143" i="1"/>
  <c r="CG142" i="1" s="1"/>
  <c r="CH143" i="1"/>
  <c r="CH142" i="1" s="1"/>
  <c r="CI143" i="1"/>
  <c r="CI142" i="1" s="1"/>
  <c r="CJ143" i="1"/>
  <c r="CJ142" i="1" s="1"/>
  <c r="CF142" i="1"/>
  <c r="CF143" i="1"/>
  <c r="CB129" i="1"/>
  <c r="CC129" i="1"/>
  <c r="CB130" i="1"/>
  <c r="CC130" i="1"/>
  <c r="CD130" i="1"/>
  <c r="CD129" i="1" s="1"/>
  <c r="CE130" i="1"/>
  <c r="CE129" i="1" s="1"/>
  <c r="CG130" i="1"/>
  <c r="CG129" i="1" s="1"/>
  <c r="CH130" i="1"/>
  <c r="CH129" i="1" s="1"/>
  <c r="CI130" i="1"/>
  <c r="CI129" i="1" s="1"/>
  <c r="CJ130" i="1"/>
  <c r="CJ129" i="1" s="1"/>
  <c r="CF129" i="1"/>
  <c r="CF130" i="1"/>
  <c r="CB116" i="1"/>
  <c r="CC116" i="1"/>
  <c r="CB117" i="1"/>
  <c r="CC117" i="1"/>
  <c r="CD117" i="1"/>
  <c r="CD116" i="1" s="1"/>
  <c r="CE117" i="1"/>
  <c r="CE116" i="1" s="1"/>
  <c r="CG117" i="1"/>
  <c r="CG116" i="1" s="1"/>
  <c r="CH117" i="1"/>
  <c r="CH116" i="1" s="1"/>
  <c r="CI117" i="1"/>
  <c r="CI116" i="1" s="1"/>
  <c r="CJ117" i="1"/>
  <c r="CJ116" i="1" s="1"/>
  <c r="CF116" i="1"/>
  <c r="CF117" i="1"/>
  <c r="CB103" i="1"/>
  <c r="CC103" i="1"/>
  <c r="CB104" i="1"/>
  <c r="CC104" i="1"/>
  <c r="CD104" i="1"/>
  <c r="CD103" i="1" s="1"/>
  <c r="CE104" i="1"/>
  <c r="CE103" i="1" s="1"/>
  <c r="CG103" i="1"/>
  <c r="CG104" i="1"/>
  <c r="CH104" i="1"/>
  <c r="CH103" i="1" s="1"/>
  <c r="CI104" i="1"/>
  <c r="CI103" i="1" s="1"/>
  <c r="CJ104" i="1"/>
  <c r="CJ103" i="1" s="1"/>
  <c r="CF103" i="1"/>
  <c r="CF104" i="1"/>
  <c r="CB91" i="1"/>
  <c r="CB90" i="1" s="1"/>
  <c r="CC91" i="1"/>
  <c r="CC90" i="1" s="1"/>
  <c r="CD91" i="1"/>
  <c r="CD90" i="1" s="1"/>
  <c r="CE91" i="1"/>
  <c r="CE90" i="1" s="1"/>
  <c r="CG91" i="1"/>
  <c r="CG90" i="1" s="1"/>
  <c r="CH91" i="1"/>
  <c r="CH90" i="1" s="1"/>
  <c r="CI91" i="1"/>
  <c r="CI90" i="1" s="1"/>
  <c r="CJ91" i="1"/>
  <c r="CJ90" i="1" s="1"/>
  <c r="CF90" i="1"/>
  <c r="CF91" i="1"/>
  <c r="CB78" i="1"/>
  <c r="CB77" i="1" s="1"/>
  <c r="CC78" i="1"/>
  <c r="CC77" i="1" s="1"/>
  <c r="CD78" i="1"/>
  <c r="CD77" i="1" s="1"/>
  <c r="CE78" i="1"/>
  <c r="CE77" i="1" s="1"/>
  <c r="CG78" i="1"/>
  <c r="CG77" i="1" s="1"/>
  <c r="CH78" i="1"/>
  <c r="CH77" i="1" s="1"/>
  <c r="CI78" i="1"/>
  <c r="CI77" i="1" s="1"/>
  <c r="CJ78" i="1"/>
  <c r="CJ77" i="1" s="1"/>
  <c r="CF77" i="1"/>
  <c r="CF78" i="1"/>
  <c r="CB64" i="1"/>
  <c r="CB65" i="1"/>
  <c r="CC65" i="1"/>
  <c r="CC64" i="1" s="1"/>
  <c r="CD65" i="1"/>
  <c r="CD64" i="1" s="1"/>
  <c r="CE65" i="1"/>
  <c r="CE64" i="1" s="1"/>
  <c r="CG65" i="1"/>
  <c r="CG64" i="1" s="1"/>
  <c r="CH65" i="1"/>
  <c r="CH64" i="1" s="1"/>
  <c r="CI65" i="1"/>
  <c r="CI64" i="1" s="1"/>
  <c r="CJ65" i="1"/>
  <c r="CJ64" i="1" s="1"/>
  <c r="CF64" i="1"/>
  <c r="CF65" i="1"/>
  <c r="CB51" i="1"/>
  <c r="CC51" i="1"/>
  <c r="CB52" i="1"/>
  <c r="CC52" i="1"/>
  <c r="CD52" i="1"/>
  <c r="CD51" i="1" s="1"/>
  <c r="CE52" i="1"/>
  <c r="CE51" i="1" s="1"/>
  <c r="CG52" i="1"/>
  <c r="CG51" i="1" s="1"/>
  <c r="CH52" i="1"/>
  <c r="CH51" i="1" s="1"/>
  <c r="CI52" i="1"/>
  <c r="CI51" i="1" s="1"/>
  <c r="CJ52" i="1"/>
  <c r="CJ51" i="1" s="1"/>
  <c r="CF51" i="1"/>
  <c r="CF52" i="1"/>
  <c r="CB39" i="1"/>
  <c r="CB38" i="1" s="1"/>
  <c r="CC39" i="1"/>
  <c r="CC38" i="1" s="1"/>
  <c r="CD39" i="1"/>
  <c r="CD38" i="1" s="1"/>
  <c r="CE39" i="1"/>
  <c r="CE38" i="1" s="1"/>
  <c r="CG39" i="1"/>
  <c r="CG38" i="1" s="1"/>
  <c r="CH39" i="1"/>
  <c r="CH38" i="1" s="1"/>
  <c r="CI39" i="1"/>
  <c r="CI38" i="1" s="1"/>
  <c r="CJ39" i="1"/>
  <c r="CJ38" i="1" s="1"/>
  <c r="CF38" i="1"/>
  <c r="CF39" i="1"/>
  <c r="CB25" i="1"/>
  <c r="CC25" i="1"/>
  <c r="CB26" i="1"/>
  <c r="CC26" i="1"/>
  <c r="CD26" i="1"/>
  <c r="CD25" i="1" s="1"/>
  <c r="CE26" i="1"/>
  <c r="CE25" i="1" s="1"/>
  <c r="CG26" i="1"/>
  <c r="CG25" i="1" s="1"/>
  <c r="CH26" i="1"/>
  <c r="CH25" i="1" s="1"/>
  <c r="CI26" i="1"/>
  <c r="CI25" i="1" s="1"/>
  <c r="CJ26" i="1"/>
  <c r="CJ25" i="1" s="1"/>
  <c r="CF25" i="1"/>
  <c r="CF26" i="1"/>
  <c r="BM156" i="1"/>
  <c r="BM155" i="1" s="1"/>
  <c r="BN156" i="1"/>
  <c r="BN155" i="1" s="1"/>
  <c r="BO156" i="1"/>
  <c r="BO155" i="1" s="1"/>
  <c r="BP156" i="1"/>
  <c r="BP155" i="1" s="1"/>
  <c r="BR156" i="1"/>
  <c r="BR155" i="1" s="1"/>
  <c r="BS156" i="1"/>
  <c r="BS155" i="1" s="1"/>
  <c r="BT156" i="1"/>
  <c r="BT155" i="1" s="1"/>
  <c r="BU156" i="1"/>
  <c r="BU155" i="1" s="1"/>
  <c r="BQ155" i="1"/>
  <c r="BQ156" i="1"/>
  <c r="BM142" i="1"/>
  <c r="BM143" i="1"/>
  <c r="BN143" i="1"/>
  <c r="BN142" i="1" s="1"/>
  <c r="BO143" i="1"/>
  <c r="BO142" i="1" s="1"/>
  <c r="BP143" i="1"/>
  <c r="BP142" i="1" s="1"/>
  <c r="BR143" i="1"/>
  <c r="BR142" i="1" s="1"/>
  <c r="BS143" i="1"/>
  <c r="BS142" i="1" s="1"/>
  <c r="BT143" i="1"/>
  <c r="BT142" i="1" s="1"/>
  <c r="BU143" i="1"/>
  <c r="BU142" i="1" s="1"/>
  <c r="BQ142" i="1"/>
  <c r="BQ143" i="1"/>
  <c r="BM129" i="1"/>
  <c r="BM130" i="1"/>
  <c r="BN130" i="1"/>
  <c r="BN129" i="1" s="1"/>
  <c r="BO130" i="1"/>
  <c r="BO129" i="1" s="1"/>
  <c r="BP130" i="1"/>
  <c r="BP129" i="1" s="1"/>
  <c r="BR129" i="1"/>
  <c r="BR130" i="1"/>
  <c r="BS130" i="1"/>
  <c r="BS129" i="1" s="1"/>
  <c r="BT130" i="1"/>
  <c r="BT129" i="1" s="1"/>
  <c r="BU130" i="1"/>
  <c r="BU129" i="1" s="1"/>
  <c r="BQ129" i="1"/>
  <c r="BQ130" i="1"/>
  <c r="BM117" i="1"/>
  <c r="BM116" i="1" s="1"/>
  <c r="BN117" i="1"/>
  <c r="BN116" i="1" s="1"/>
  <c r="BO117" i="1"/>
  <c r="BO116" i="1" s="1"/>
  <c r="BP117" i="1"/>
  <c r="BP116" i="1" s="1"/>
  <c r="BR116" i="1"/>
  <c r="BR117" i="1"/>
  <c r="BS117" i="1"/>
  <c r="BS116" i="1" s="1"/>
  <c r="BT117" i="1"/>
  <c r="BT116" i="1" s="1"/>
  <c r="BU117" i="1"/>
  <c r="BU116" i="1" s="1"/>
  <c r="BQ116" i="1"/>
  <c r="BQ117" i="1"/>
  <c r="BM103" i="1"/>
  <c r="BN103" i="1"/>
  <c r="BM104" i="1"/>
  <c r="BN104" i="1"/>
  <c r="BO104" i="1"/>
  <c r="BO103" i="1" s="1"/>
  <c r="BP104" i="1"/>
  <c r="BP103" i="1" s="1"/>
  <c r="BR104" i="1"/>
  <c r="BR103" i="1" s="1"/>
  <c r="BS104" i="1"/>
  <c r="BS103" i="1" s="1"/>
  <c r="BT104" i="1"/>
  <c r="BT103" i="1" s="1"/>
  <c r="BU104" i="1"/>
  <c r="BU103" i="1" s="1"/>
  <c r="BQ103" i="1"/>
  <c r="BQ104" i="1"/>
  <c r="BM90" i="1"/>
  <c r="BM91" i="1"/>
  <c r="BN91" i="1"/>
  <c r="BN90" i="1" s="1"/>
  <c r="BO91" i="1"/>
  <c r="BO90" i="1" s="1"/>
  <c r="BP91" i="1"/>
  <c r="BP90" i="1" s="1"/>
  <c r="BR91" i="1"/>
  <c r="BR90" i="1" s="1"/>
  <c r="BS91" i="1"/>
  <c r="BS90" i="1" s="1"/>
  <c r="BT91" i="1"/>
  <c r="BT90" i="1" s="1"/>
  <c r="BU91" i="1"/>
  <c r="BU90" i="1" s="1"/>
  <c r="BQ90" i="1"/>
  <c r="BQ91" i="1"/>
  <c r="BM77" i="1"/>
  <c r="BN77" i="1"/>
  <c r="BM78" i="1"/>
  <c r="BN78" i="1"/>
  <c r="BO78" i="1"/>
  <c r="BO77" i="1" s="1"/>
  <c r="BP78" i="1"/>
  <c r="BP77" i="1" s="1"/>
  <c r="BR78" i="1"/>
  <c r="BR77" i="1" s="1"/>
  <c r="BS78" i="1"/>
  <c r="BS77" i="1" s="1"/>
  <c r="BT78" i="1"/>
  <c r="BT77" i="1" s="1"/>
  <c r="BU78" i="1"/>
  <c r="BU77" i="1" s="1"/>
  <c r="BQ77" i="1"/>
  <c r="BQ78" i="1"/>
  <c r="BM64" i="1"/>
  <c r="BN64" i="1"/>
  <c r="BM65" i="1"/>
  <c r="BN65" i="1"/>
  <c r="BO65" i="1"/>
  <c r="BO64" i="1" s="1"/>
  <c r="BP65" i="1"/>
  <c r="BP64" i="1" s="1"/>
  <c r="BR65" i="1"/>
  <c r="BR64" i="1" s="1"/>
  <c r="BS65" i="1"/>
  <c r="BS64" i="1" s="1"/>
  <c r="BT65" i="1"/>
  <c r="BT64" i="1" s="1"/>
  <c r="BU65" i="1"/>
  <c r="BU64" i="1" s="1"/>
  <c r="BQ64" i="1"/>
  <c r="BQ65" i="1"/>
  <c r="BM51" i="1"/>
  <c r="BN51" i="1"/>
  <c r="BM52" i="1"/>
  <c r="BN52" i="1"/>
  <c r="BO52" i="1"/>
  <c r="BO51" i="1" s="1"/>
  <c r="BP52" i="1"/>
  <c r="BP51" i="1" s="1"/>
  <c r="BR51" i="1"/>
  <c r="BR52" i="1"/>
  <c r="BS52" i="1"/>
  <c r="BS51" i="1" s="1"/>
  <c r="BT52" i="1"/>
  <c r="BT51" i="1" s="1"/>
  <c r="BU52" i="1"/>
  <c r="BU51" i="1" s="1"/>
  <c r="BQ51" i="1"/>
  <c r="BQ52" i="1"/>
  <c r="BR38" i="1"/>
  <c r="BS38" i="1"/>
  <c r="BR39" i="1"/>
  <c r="BS39" i="1"/>
  <c r="BT39" i="1"/>
  <c r="BT38" i="1" s="1"/>
  <c r="BU39" i="1"/>
  <c r="BU38" i="1" s="1"/>
  <c r="BM38" i="1"/>
  <c r="BM39" i="1"/>
  <c r="BN39" i="1"/>
  <c r="BN38" i="1" s="1"/>
  <c r="BO39" i="1"/>
  <c r="BO38" i="1" s="1"/>
  <c r="BP39" i="1"/>
  <c r="BP38" i="1" s="1"/>
  <c r="BQ38" i="1"/>
  <c r="BQ39" i="1"/>
  <c r="BM25" i="1"/>
  <c r="BN25" i="1"/>
  <c r="BM26" i="1"/>
  <c r="BN26" i="1"/>
  <c r="BO26" i="1"/>
  <c r="BO25" i="1" s="1"/>
  <c r="BP26" i="1"/>
  <c r="BP25" i="1" s="1"/>
  <c r="BR26" i="1"/>
  <c r="BR25" i="1" s="1"/>
  <c r="BS26" i="1"/>
  <c r="BS25" i="1" s="1"/>
  <c r="BT26" i="1"/>
  <c r="BT25" i="1" s="1"/>
  <c r="BU26" i="1"/>
  <c r="BU25" i="1" s="1"/>
  <c r="BQ25" i="1"/>
  <c r="BQ26" i="1"/>
  <c r="CF114" i="1" l="1"/>
  <c r="CF127" i="1"/>
  <c r="CF140" i="1"/>
  <c r="CF153" i="1"/>
  <c r="CF49" i="1"/>
  <c r="CF62" i="1"/>
  <c r="CF75" i="1"/>
  <c r="CF88" i="1"/>
  <c r="CF101" i="1"/>
  <c r="CJ153" i="1"/>
  <c r="CI153" i="1"/>
  <c r="CH153" i="1"/>
  <c r="CG153" i="1"/>
  <c r="CE153" i="1"/>
  <c r="CD153" i="1"/>
  <c r="CC153" i="1"/>
  <c r="CB153" i="1"/>
  <c r="CJ140" i="1"/>
  <c r="CI140" i="1"/>
  <c r="CH140" i="1"/>
  <c r="CG140" i="1"/>
  <c r="CE140" i="1"/>
  <c r="CD140" i="1"/>
  <c r="CC140" i="1"/>
  <c r="CB140" i="1"/>
  <c r="CJ127" i="1"/>
  <c r="CI127" i="1"/>
  <c r="CH127" i="1"/>
  <c r="CG127" i="1"/>
  <c r="CE127" i="1"/>
  <c r="CD127" i="1"/>
  <c r="CC127" i="1"/>
  <c r="CB127" i="1"/>
  <c r="CJ114" i="1"/>
  <c r="CI114" i="1"/>
  <c r="CH114" i="1"/>
  <c r="CG114" i="1"/>
  <c r="CE114" i="1"/>
  <c r="CD114" i="1"/>
  <c r="CC114" i="1"/>
  <c r="CB114" i="1"/>
  <c r="CJ101" i="1"/>
  <c r="CI101" i="1"/>
  <c r="CH101" i="1"/>
  <c r="CG101" i="1"/>
  <c r="CE101" i="1"/>
  <c r="CD101" i="1"/>
  <c r="CC101" i="1"/>
  <c r="CB101" i="1"/>
  <c r="CJ88" i="1"/>
  <c r="CI88" i="1"/>
  <c r="CH88" i="1"/>
  <c r="CG88" i="1"/>
  <c r="CE88" i="1"/>
  <c r="CD88" i="1"/>
  <c r="CC88" i="1"/>
  <c r="CB88" i="1"/>
  <c r="CJ75" i="1"/>
  <c r="CI75" i="1"/>
  <c r="CH75" i="1"/>
  <c r="CG75" i="1"/>
  <c r="CE75" i="1"/>
  <c r="CD75" i="1"/>
  <c r="CC75" i="1"/>
  <c r="CB75" i="1"/>
  <c r="CJ62" i="1"/>
  <c r="CI62" i="1"/>
  <c r="CH62" i="1"/>
  <c r="CG62" i="1"/>
  <c r="CE62" i="1"/>
  <c r="CD62" i="1"/>
  <c r="CC62" i="1"/>
  <c r="CB62" i="1"/>
  <c r="CJ49" i="1"/>
  <c r="CI49" i="1"/>
  <c r="CH49" i="1"/>
  <c r="CG49" i="1"/>
  <c r="CE49" i="1"/>
  <c r="CD49" i="1"/>
  <c r="CC49" i="1"/>
  <c r="CB49" i="1"/>
  <c r="CJ36" i="1"/>
  <c r="CI36" i="1"/>
  <c r="CH36" i="1"/>
  <c r="CG36" i="1"/>
  <c r="CF36" i="1"/>
  <c r="CE36" i="1"/>
  <c r="CD36" i="1"/>
  <c r="CC36" i="1"/>
  <c r="CB36" i="1"/>
  <c r="CG23" i="1"/>
  <c r="CH23" i="1"/>
  <c r="CI23" i="1"/>
  <c r="CJ23" i="1"/>
  <c r="CB23" i="1"/>
  <c r="CC23" i="1"/>
  <c r="CD23" i="1"/>
  <c r="CE23" i="1"/>
  <c r="CF23" i="1"/>
  <c r="BF153" i="1"/>
  <c r="BE153" i="1"/>
  <c r="BD153" i="1"/>
  <c r="BC153" i="1"/>
  <c r="BB153" i="1"/>
  <c r="BA153" i="1"/>
  <c r="AZ153" i="1"/>
  <c r="AY153" i="1"/>
  <c r="AX153" i="1"/>
  <c r="BF140" i="1"/>
  <c r="BE140" i="1"/>
  <c r="BD140" i="1"/>
  <c r="BC140" i="1"/>
  <c r="BB140" i="1"/>
  <c r="BA140" i="1"/>
  <c r="AZ140" i="1"/>
  <c r="AY140" i="1"/>
  <c r="AX140" i="1"/>
  <c r="BF127" i="1"/>
  <c r="BE127" i="1"/>
  <c r="BD127" i="1"/>
  <c r="BC127" i="1"/>
  <c r="BB127" i="1"/>
  <c r="BA127" i="1"/>
  <c r="AZ127" i="1"/>
  <c r="AY127" i="1"/>
  <c r="AX127" i="1"/>
  <c r="BF114" i="1"/>
  <c r="BE114" i="1"/>
  <c r="BD114" i="1"/>
  <c r="BC114" i="1"/>
  <c r="BB114" i="1"/>
  <c r="BA114" i="1"/>
  <c r="AZ114" i="1"/>
  <c r="AY114" i="1"/>
  <c r="AX114" i="1"/>
  <c r="BF101" i="1"/>
  <c r="BE101" i="1"/>
  <c r="BD101" i="1"/>
  <c r="BC101" i="1"/>
  <c r="BB101" i="1"/>
  <c r="BA101" i="1"/>
  <c r="AZ101" i="1"/>
  <c r="AY101" i="1"/>
  <c r="AX101" i="1"/>
  <c r="BF88" i="1"/>
  <c r="BE88" i="1"/>
  <c r="BD88" i="1"/>
  <c r="BC88" i="1"/>
  <c r="BB88" i="1"/>
  <c r="BA88" i="1"/>
  <c r="AZ88" i="1"/>
  <c r="AY88" i="1"/>
  <c r="AX88" i="1"/>
  <c r="BF75" i="1"/>
  <c r="BE75" i="1"/>
  <c r="BD75" i="1"/>
  <c r="BC75" i="1"/>
  <c r="BB75" i="1"/>
  <c r="BA75" i="1"/>
  <c r="AZ75" i="1"/>
  <c r="AY75" i="1"/>
  <c r="AX75" i="1"/>
  <c r="BF62" i="1"/>
  <c r="BE62" i="1"/>
  <c r="BD62" i="1"/>
  <c r="BC62" i="1"/>
  <c r="BB62" i="1"/>
  <c r="BA62" i="1"/>
  <c r="AZ62" i="1"/>
  <c r="AY62" i="1"/>
  <c r="AX62" i="1"/>
  <c r="BF49" i="1"/>
  <c r="BE49" i="1"/>
  <c r="BD49" i="1"/>
  <c r="BC49" i="1"/>
  <c r="BB49" i="1"/>
  <c r="BA49" i="1"/>
  <c r="AZ49" i="1"/>
  <c r="AY49" i="1"/>
  <c r="AX49" i="1"/>
  <c r="BF36" i="1"/>
  <c r="BE36" i="1"/>
  <c r="BD36" i="1"/>
  <c r="BC36" i="1"/>
  <c r="BB36" i="1"/>
  <c r="BA36" i="1"/>
  <c r="AZ36" i="1"/>
  <c r="AY36" i="1"/>
  <c r="AX36" i="1"/>
  <c r="BC23" i="1"/>
  <c r="BD23" i="1"/>
  <c r="BE23" i="1"/>
  <c r="BF23" i="1"/>
  <c r="AX23" i="1"/>
  <c r="AY23" i="1"/>
  <c r="AZ23" i="1"/>
  <c r="BA23" i="1"/>
  <c r="BB23" i="1"/>
  <c r="E58" i="1" l="1"/>
  <c r="E57" i="1"/>
  <c r="E56" i="1"/>
  <c r="B104" i="1"/>
  <c r="E72" i="1"/>
  <c r="H32" i="1"/>
  <c r="B96" i="1"/>
  <c r="H31" i="1"/>
  <c r="H30" i="1"/>
  <c r="H29" i="1"/>
  <c r="B108" i="1"/>
  <c r="B106" i="1"/>
  <c r="E29" i="1" s="1"/>
  <c r="H28" i="1"/>
  <c r="H27" i="1"/>
  <c r="E19" i="1"/>
  <c r="E17" i="1"/>
  <c r="E15" i="1"/>
  <c r="E30" i="1" l="1"/>
  <c r="B102" i="1"/>
  <c r="B100" i="1"/>
  <c r="B98" i="1"/>
  <c r="B110" i="1"/>
  <c r="B94" i="1"/>
  <c r="B90" i="1"/>
  <c r="B91" i="1"/>
  <c r="B92" i="1" s="1"/>
  <c r="K74" i="1"/>
  <c r="C8" i="1" s="1"/>
  <c r="B78" i="1"/>
  <c r="B76" i="1"/>
  <c r="B74" i="1"/>
  <c r="H57" i="1" l="1"/>
  <c r="H58" i="1"/>
  <c r="H56" i="1"/>
  <c r="H19" i="1"/>
  <c r="H17" i="1"/>
  <c r="H72" i="1"/>
  <c r="H15" i="1"/>
  <c r="E75" i="1"/>
  <c r="E77" i="1"/>
  <c r="E73" i="1"/>
  <c r="H74" i="1"/>
  <c r="E74" i="1"/>
  <c r="H77" i="1"/>
  <c r="H75" i="1"/>
  <c r="H76" i="1"/>
  <c r="E76" i="1"/>
  <c r="H78" i="1"/>
  <c r="E78" i="1"/>
  <c r="H46" i="1"/>
  <c r="H14" i="1"/>
  <c r="H16" i="1"/>
  <c r="H12" i="1"/>
  <c r="H73" i="1"/>
  <c r="H18" i="1"/>
  <c r="H11" i="1"/>
  <c r="A9" i="1"/>
  <c r="A13" i="1"/>
  <c r="A20" i="1"/>
  <c r="H10" i="1"/>
  <c r="B36" i="1" l="1"/>
  <c r="H36" i="1" l="1"/>
  <c r="B71" i="1"/>
  <c r="B35" i="1"/>
  <c r="H35" i="1" s="1"/>
  <c r="P72" i="1"/>
  <c r="B79" i="1"/>
  <c r="B80" i="1" s="1"/>
  <c r="CO15" i="1"/>
  <c r="CO4" i="1"/>
  <c r="CO5" i="1"/>
  <c r="CO6" i="1"/>
  <c r="CO7" i="1"/>
  <c r="CO8" i="1"/>
  <c r="CO9" i="1"/>
  <c r="CO10" i="1"/>
  <c r="CO11" i="1"/>
  <c r="CO12" i="1"/>
  <c r="CO13" i="1"/>
  <c r="CO14" i="1"/>
  <c r="CO16" i="1"/>
  <c r="CO17" i="1"/>
  <c r="CO18" i="1"/>
  <c r="CO19" i="1"/>
  <c r="CO20" i="1"/>
  <c r="CO21" i="1"/>
  <c r="CO22" i="1"/>
  <c r="CO23" i="1"/>
  <c r="CO24" i="1"/>
  <c r="CO25" i="1"/>
  <c r="CO26" i="1"/>
  <c r="CO27" i="1"/>
  <c r="CO28" i="1"/>
  <c r="CO29" i="1"/>
  <c r="CO30" i="1"/>
  <c r="CO31" i="1"/>
  <c r="CO32" i="1"/>
  <c r="CO33" i="1"/>
  <c r="CO34" i="1"/>
  <c r="CO35" i="1"/>
  <c r="CO36" i="1"/>
  <c r="CO37" i="1"/>
  <c r="CO38" i="1"/>
  <c r="CO39" i="1"/>
  <c r="CO40" i="1"/>
  <c r="CO41" i="1"/>
  <c r="CO42" i="1"/>
  <c r="CO43" i="1"/>
  <c r="CO44" i="1"/>
  <c r="CO45" i="1"/>
  <c r="CO46" i="1"/>
  <c r="CO47" i="1"/>
  <c r="CO48" i="1"/>
  <c r="CO49" i="1"/>
  <c r="CO50" i="1"/>
  <c r="CO51" i="1"/>
  <c r="CO52" i="1"/>
  <c r="CO53" i="1"/>
  <c r="CO54" i="1"/>
  <c r="CO55" i="1"/>
  <c r="CO56" i="1"/>
  <c r="CO57" i="1"/>
  <c r="CO58" i="1"/>
  <c r="CO59" i="1"/>
  <c r="CO60" i="1"/>
  <c r="CO61" i="1"/>
  <c r="CO62" i="1"/>
  <c r="CO63" i="1"/>
  <c r="CO64" i="1"/>
  <c r="CO65" i="1"/>
  <c r="CO66" i="1"/>
  <c r="CO67" i="1"/>
  <c r="CO68" i="1"/>
  <c r="CO69" i="1"/>
  <c r="CO70" i="1"/>
  <c r="CO71" i="1"/>
  <c r="CO72" i="1"/>
  <c r="CO73" i="1"/>
  <c r="CO74" i="1"/>
  <c r="CO75" i="1"/>
  <c r="CO76" i="1"/>
  <c r="CO77" i="1"/>
  <c r="CO78" i="1"/>
  <c r="CO79" i="1"/>
  <c r="CO80" i="1"/>
  <c r="CO81" i="1"/>
  <c r="CO82" i="1"/>
  <c r="CO83" i="1"/>
  <c r="CO84" i="1"/>
  <c r="CO85" i="1"/>
  <c r="CO86" i="1"/>
  <c r="CO87" i="1"/>
  <c r="CO88" i="1"/>
  <c r="CO89" i="1"/>
  <c r="CO90" i="1"/>
  <c r="CO91" i="1"/>
  <c r="CO92" i="1"/>
  <c r="CO93" i="1"/>
  <c r="CO94" i="1"/>
  <c r="CO95" i="1"/>
  <c r="CO96" i="1"/>
  <c r="CO97" i="1"/>
  <c r="CO98" i="1"/>
  <c r="CO99" i="1"/>
  <c r="CO100" i="1"/>
  <c r="CO101" i="1"/>
  <c r="CO102" i="1"/>
  <c r="CO103" i="1"/>
  <c r="CO104" i="1"/>
  <c r="CO105" i="1"/>
  <c r="CO106" i="1"/>
  <c r="CO107" i="1"/>
  <c r="CO108" i="1"/>
  <c r="CO109" i="1"/>
  <c r="CO110" i="1"/>
  <c r="CO111" i="1"/>
  <c r="CO112" i="1"/>
  <c r="CO113" i="1"/>
  <c r="CO114" i="1"/>
  <c r="CO115" i="1"/>
  <c r="CO116" i="1"/>
  <c r="CO117" i="1"/>
  <c r="CO118" i="1"/>
  <c r="CO119" i="1"/>
  <c r="CO120" i="1"/>
  <c r="CO121" i="1"/>
  <c r="CO122" i="1"/>
  <c r="CO123" i="1"/>
  <c r="CO124" i="1"/>
  <c r="CO125" i="1"/>
  <c r="CO126" i="1"/>
  <c r="CO127" i="1"/>
  <c r="CO128" i="1"/>
  <c r="CO129" i="1"/>
  <c r="CO130" i="1"/>
  <c r="CO131" i="1"/>
  <c r="CO132" i="1"/>
  <c r="CO133" i="1"/>
  <c r="CO134" i="1"/>
  <c r="CO135" i="1"/>
  <c r="CO136" i="1"/>
  <c r="CO137" i="1"/>
  <c r="CO138" i="1"/>
  <c r="CO139" i="1"/>
  <c r="CO140" i="1"/>
  <c r="CO141" i="1"/>
  <c r="CO142" i="1"/>
  <c r="CO143" i="1"/>
  <c r="CO144" i="1"/>
  <c r="CO145" i="1"/>
  <c r="CO146" i="1"/>
  <c r="CO147" i="1"/>
  <c r="CO148" i="1"/>
  <c r="CO149" i="1"/>
  <c r="CO150" i="1"/>
  <c r="CO151" i="1"/>
  <c r="CO152" i="1"/>
  <c r="CO153" i="1"/>
  <c r="CO154" i="1"/>
  <c r="CO155" i="1"/>
  <c r="CO156" i="1"/>
  <c r="CO157" i="1"/>
  <c r="CO158" i="1"/>
  <c r="CO159" i="1"/>
  <c r="CO160" i="1"/>
  <c r="CO161" i="1"/>
  <c r="CO162" i="1"/>
  <c r="CO163" i="1"/>
  <c r="CO164" i="1"/>
  <c r="CO165" i="1"/>
  <c r="CO166" i="1"/>
  <c r="CO167" i="1"/>
  <c r="CO168" i="1"/>
  <c r="CO169" i="1"/>
  <c r="CO170" i="1"/>
  <c r="CO171" i="1"/>
  <c r="CO172" i="1"/>
  <c r="CO173" i="1"/>
  <c r="CO174" i="1"/>
  <c r="CO175" i="1"/>
  <c r="CO176" i="1"/>
  <c r="CO177" i="1"/>
  <c r="CO178" i="1"/>
  <c r="CO179" i="1"/>
  <c r="CO180" i="1"/>
  <c r="CO181" i="1"/>
  <c r="CO182" i="1"/>
  <c r="CO183" i="1"/>
  <c r="CO184" i="1"/>
  <c r="CO185" i="1"/>
  <c r="CO186" i="1"/>
  <c r="CO187" i="1"/>
  <c r="CO188" i="1"/>
  <c r="CO189" i="1"/>
  <c r="CO190" i="1"/>
  <c r="CO191" i="1"/>
  <c r="CO192" i="1"/>
  <c r="CO193" i="1"/>
  <c r="CO194" i="1"/>
  <c r="CO195" i="1"/>
  <c r="CO196" i="1"/>
  <c r="CO197" i="1"/>
  <c r="CO198" i="1"/>
  <c r="CO199" i="1"/>
  <c r="CO200" i="1"/>
  <c r="CO201" i="1"/>
  <c r="CO202" i="1"/>
  <c r="CO203" i="1"/>
  <c r="CO204" i="1"/>
  <c r="CO205" i="1"/>
  <c r="CO206" i="1"/>
  <c r="CO207" i="1"/>
  <c r="CO208" i="1"/>
  <c r="CO209" i="1"/>
  <c r="CO210" i="1"/>
  <c r="CO211" i="1"/>
  <c r="CO212" i="1"/>
  <c r="CO213" i="1"/>
  <c r="CO214" i="1"/>
  <c r="CO215" i="1"/>
  <c r="CO216" i="1"/>
  <c r="CO217" i="1"/>
  <c r="CO218" i="1"/>
  <c r="CO219" i="1"/>
  <c r="CO220" i="1"/>
  <c r="CO221" i="1"/>
  <c r="CO222" i="1"/>
  <c r="CO223" i="1"/>
  <c r="CO224" i="1"/>
  <c r="CO225" i="1"/>
  <c r="CO226" i="1"/>
  <c r="CO227" i="1"/>
  <c r="CO228" i="1"/>
  <c r="CO229" i="1"/>
  <c r="CO230" i="1"/>
  <c r="CO231" i="1"/>
  <c r="CO232" i="1"/>
  <c r="CO233" i="1"/>
  <c r="CO234" i="1"/>
  <c r="CO235" i="1"/>
  <c r="CO236" i="1"/>
  <c r="CO237" i="1"/>
  <c r="CO238" i="1"/>
  <c r="CO239" i="1"/>
  <c r="CO240" i="1"/>
  <c r="CO241" i="1"/>
  <c r="CO242" i="1"/>
  <c r="CO243" i="1"/>
  <c r="CO244" i="1"/>
  <c r="CO245" i="1"/>
  <c r="CO246" i="1"/>
  <c r="CO247" i="1"/>
  <c r="CO248" i="1"/>
  <c r="CO249" i="1"/>
  <c r="CO250" i="1"/>
  <c r="CO251" i="1"/>
  <c r="CO252" i="1"/>
  <c r="CO253" i="1"/>
  <c r="K72" i="1" s="1"/>
  <c r="CO3" i="1"/>
  <c r="AT3" i="1" l="1"/>
  <c r="BI3" i="1"/>
  <c r="AE3" i="1"/>
  <c r="BX3" i="1"/>
  <c r="B81" i="1"/>
  <c r="B83" i="1"/>
  <c r="B82" i="1"/>
  <c r="B84" i="1" l="1"/>
  <c r="BD126" i="1" s="1"/>
  <c r="CE139" i="1" l="1"/>
  <c r="CE141" i="1" s="1"/>
  <c r="CH126" i="1"/>
  <c r="CI22" i="1"/>
  <c r="CH152" i="1"/>
  <c r="CH48" i="1"/>
  <c r="CF35" i="1"/>
  <c r="CG74" i="1"/>
  <c r="CI113" i="1"/>
  <c r="CG139" i="1"/>
  <c r="CG141" i="1" s="1"/>
  <c r="CB35" i="1"/>
  <c r="CB37" i="1" s="1"/>
  <c r="CC74" i="1"/>
  <c r="CC76" i="1" s="1"/>
  <c r="CC100" i="1"/>
  <c r="CC102" i="1" s="1"/>
  <c r="CJ35" i="1"/>
  <c r="CJ37" i="1" s="1"/>
  <c r="CE74" i="1"/>
  <c r="CE61" i="1"/>
  <c r="CB87" i="1"/>
  <c r="CB89" i="1" s="1"/>
  <c r="CB61" i="1"/>
  <c r="CI35" i="1"/>
  <c r="CI37" i="1" s="1"/>
  <c r="CF48" i="1"/>
  <c r="CF50" i="1" s="1"/>
  <c r="CE87" i="1"/>
  <c r="CJ48" i="1"/>
  <c r="CD35" i="1"/>
  <c r="CD37" i="1" s="1"/>
  <c r="CE48" i="1"/>
  <c r="CG35" i="1"/>
  <c r="CG61" i="1"/>
  <c r="CG63" i="1" s="1"/>
  <c r="CH113" i="1"/>
  <c r="CB100" i="1"/>
  <c r="CG87" i="1"/>
  <c r="CI48" i="1"/>
  <c r="CD22" i="1"/>
  <c r="CC113" i="1"/>
  <c r="CI61" i="1"/>
  <c r="CD48" i="1"/>
  <c r="CF152" i="1"/>
  <c r="CG113" i="1"/>
  <c r="CC126" i="1"/>
  <c r="CD126" i="1"/>
  <c r="CJ113" i="1"/>
  <c r="CI100" i="1"/>
  <c r="CB126" i="1"/>
  <c r="CB139" i="1"/>
  <c r="CE126" i="1"/>
  <c r="CB113" i="1"/>
  <c r="CJ74" i="1"/>
  <c r="CJ61" i="1"/>
  <c r="CJ126" i="1"/>
  <c r="CI139" i="1"/>
  <c r="CJ139" i="1"/>
  <c r="CD152" i="1"/>
  <c r="CC139" i="1"/>
  <c r="CG126" i="1"/>
  <c r="CJ22" i="1"/>
  <c r="CI152" i="1"/>
  <c r="CB48" i="1"/>
  <c r="CF113" i="1"/>
  <c r="CC87" i="1"/>
  <c r="CB74" i="1"/>
  <c r="CH139" i="1"/>
  <c r="CB152" i="1"/>
  <c r="CC152" i="1"/>
  <c r="CF100" i="1"/>
  <c r="CE152" i="1"/>
  <c r="CD139" i="1"/>
  <c r="CE35" i="1"/>
  <c r="CG48" i="1"/>
  <c r="CF22" i="1"/>
  <c r="CI87" i="1"/>
  <c r="CH74" i="1"/>
  <c r="CH61" i="1"/>
  <c r="CC22" i="1"/>
  <c r="CD113" i="1"/>
  <c r="CD87" i="1"/>
  <c r="CF74" i="1"/>
  <c r="CF139" i="1"/>
  <c r="CF61" i="1"/>
  <c r="CG152" i="1"/>
  <c r="CJ100" i="1"/>
  <c r="CD61" i="1"/>
  <c r="CC61" i="1"/>
  <c r="CG22" i="1"/>
  <c r="CI126" i="1"/>
  <c r="CC35" i="1"/>
  <c r="CJ152" i="1"/>
  <c r="CE100" i="1"/>
  <c r="CG100" i="1"/>
  <c r="CH22" i="1"/>
  <c r="CH87" i="1"/>
  <c r="CD74" i="1"/>
  <c r="CH35" i="1"/>
  <c r="CE22" i="1"/>
  <c r="CJ87" i="1"/>
  <c r="CI74" i="1"/>
  <c r="CC48" i="1"/>
  <c r="CB22" i="1"/>
  <c r="CE113" i="1"/>
  <c r="CD100" i="1"/>
  <c r="CH100" i="1"/>
  <c r="CF126" i="1"/>
  <c r="CF87" i="1"/>
  <c r="AX61" i="1"/>
  <c r="AX63" i="1" s="1"/>
  <c r="BE100" i="1"/>
  <c r="BE102" i="1" s="1"/>
  <c r="BF87" i="1"/>
  <c r="BF89" i="1" s="1"/>
  <c r="AZ48" i="1"/>
  <c r="AZ50" i="1" s="1"/>
  <c r="BF139" i="1"/>
  <c r="BF143" i="1" s="1"/>
  <c r="BE87" i="1"/>
  <c r="BE91" i="1" s="1"/>
  <c r="AY139" i="1"/>
  <c r="AY141" i="1" s="1"/>
  <c r="AX152" i="1"/>
  <c r="AX154" i="1" s="1"/>
  <c r="BE113" i="1"/>
  <c r="BE115" i="1" s="1"/>
  <c r="AY74" i="1"/>
  <c r="AY76" i="1" s="1"/>
  <c r="BA152" i="1"/>
  <c r="BA154" i="1" s="1"/>
  <c r="AZ100" i="1"/>
  <c r="AZ102" i="1" s="1"/>
  <c r="AY61" i="1"/>
  <c r="AY63" i="1" s="1"/>
  <c r="BC113" i="1"/>
  <c r="BC115" i="1" s="1"/>
  <c r="AX113" i="1"/>
  <c r="AX115" i="1" s="1"/>
  <c r="BD87" i="1"/>
  <c r="BD89" i="1" s="1"/>
  <c r="BE48" i="1"/>
  <c r="BE52" i="1" s="1"/>
  <c r="BE74" i="1"/>
  <c r="BE76" i="1" s="1"/>
  <c r="BF126" i="1"/>
  <c r="BF130" i="1" s="1"/>
  <c r="BE126" i="1"/>
  <c r="BE128" i="1" s="1"/>
  <c r="BE152" i="1"/>
  <c r="BE156" i="1" s="1"/>
  <c r="BC61" i="1"/>
  <c r="BC65" i="1" s="1"/>
  <c r="BC35" i="1"/>
  <c r="BC39" i="1" s="1"/>
  <c r="BA61" i="1"/>
  <c r="BA65" i="1" s="1"/>
  <c r="BE22" i="1"/>
  <c r="AY152" i="1"/>
  <c r="BE139" i="1"/>
  <c r="BC74" i="1"/>
  <c r="BC76" i="1" s="1"/>
  <c r="BC100" i="1"/>
  <c r="BC104" i="1" s="1"/>
  <c r="AX100" i="1"/>
  <c r="BD22" i="1"/>
  <c r="AZ74" i="1"/>
  <c r="AZ76" i="1" s="1"/>
  <c r="AY100" i="1"/>
  <c r="BF74" i="1"/>
  <c r="BF76" i="1" s="1"/>
  <c r="BF35" i="1"/>
  <c r="BF37" i="1" s="1"/>
  <c r="BB35" i="1"/>
  <c r="BB39" i="1" s="1"/>
  <c r="AZ126" i="1"/>
  <c r="AZ128" i="1" s="1"/>
  <c r="BB87" i="1"/>
  <c r="BB91" i="1" s="1"/>
  <c r="BD130" i="1"/>
  <c r="BD128" i="1"/>
  <c r="BB126" i="1"/>
  <c r="AX87" i="1"/>
  <c r="AZ35" i="1"/>
  <c r="AY22" i="1"/>
  <c r="BA74" i="1"/>
  <c r="BA35" i="1"/>
  <c r="BD61" i="1"/>
  <c r="BD139" i="1"/>
  <c r="BA113" i="1"/>
  <c r="BD152" i="1"/>
  <c r="BA22" i="1"/>
  <c r="AZ113" i="1"/>
  <c r="AZ139" i="1"/>
  <c r="AZ61" i="1"/>
  <c r="AZ152" i="1"/>
  <c r="BA87" i="1"/>
  <c r="BE61" i="1"/>
  <c r="BB100" i="1"/>
  <c r="BF152" i="1"/>
  <c r="BD48" i="1"/>
  <c r="BD35" i="1"/>
  <c r="AX126" i="1"/>
  <c r="BB152" i="1"/>
  <c r="BA48" i="1"/>
  <c r="BF22" i="1"/>
  <c r="BF48" i="1"/>
  <c r="BD74" i="1"/>
  <c r="BF113" i="1"/>
  <c r="BD100" i="1"/>
  <c r="AY87" i="1"/>
  <c r="BF61" i="1"/>
  <c r="BD113" i="1"/>
  <c r="BA100" i="1"/>
  <c r="BF100" i="1"/>
  <c r="BC126" i="1"/>
  <c r="BC48" i="1"/>
  <c r="AX139" i="1"/>
  <c r="BB22" i="1"/>
  <c r="BB61" i="1"/>
  <c r="BB48" i="1"/>
  <c r="AX74" i="1"/>
  <c r="AZ87" i="1"/>
  <c r="AX22" i="1"/>
  <c r="AY35" i="1"/>
  <c r="BC152" i="1"/>
  <c r="BA139" i="1"/>
  <c r="BC87" i="1"/>
  <c r="BC22" i="1"/>
  <c r="AY48" i="1"/>
  <c r="AY126" i="1"/>
  <c r="AX35" i="1"/>
  <c r="BC139" i="1"/>
  <c r="BB74" i="1"/>
  <c r="AX48" i="1"/>
  <c r="AY113" i="1"/>
  <c r="BE35" i="1"/>
  <c r="AZ22" i="1"/>
  <c r="BA126" i="1"/>
  <c r="BB113" i="1"/>
  <c r="BB139" i="1"/>
  <c r="B40" i="1"/>
  <c r="H40" i="1" s="1"/>
  <c r="AP61" i="1"/>
  <c r="AP63" i="1" s="1"/>
  <c r="BP74" i="1"/>
  <c r="BO152" i="1"/>
  <c r="BO154" i="1" s="1"/>
  <c r="BM139" i="1"/>
  <c r="BM140" i="1" s="1"/>
  <c r="BQ126" i="1"/>
  <c r="BR126" i="1"/>
  <c r="BR127" i="1" s="1"/>
  <c r="BT74" i="1"/>
  <c r="BO100" i="1"/>
  <c r="BO102" i="1" s="1"/>
  <c r="BN113" i="1"/>
  <c r="BN114" i="1" s="1"/>
  <c r="BQ100" i="1"/>
  <c r="BQ101" i="1" s="1"/>
  <c r="BR74" i="1"/>
  <c r="BR75" i="1" s="1"/>
  <c r="BT22" i="1"/>
  <c r="BT24" i="1" s="1"/>
  <c r="BT87" i="1"/>
  <c r="BT89" i="1" s="1"/>
  <c r="BN35" i="1"/>
  <c r="BN37" i="1" s="1"/>
  <c r="BU61" i="1"/>
  <c r="BU62" i="1" s="1"/>
  <c r="BP61" i="1"/>
  <c r="BP63" i="1" s="1"/>
  <c r="BQ61" i="1"/>
  <c r="BQ62" i="1" s="1"/>
  <c r="BP100" i="1"/>
  <c r="BP102" i="1" s="1"/>
  <c r="BN139" i="1"/>
  <c r="BS152" i="1"/>
  <c r="BS153" i="1" s="1"/>
  <c r="BQ87" i="1"/>
  <c r="BQ88" i="1" s="1"/>
  <c r="BS126" i="1"/>
  <c r="BT100" i="1"/>
  <c r="BT101" i="1" s="1"/>
  <c r="BM100" i="1"/>
  <c r="BM101" i="1" s="1"/>
  <c r="BO139" i="1"/>
  <c r="BO35" i="1"/>
  <c r="BO37" i="1" s="1"/>
  <c r="BM113" i="1"/>
  <c r="BM114" i="1" s="1"/>
  <c r="BT126" i="1"/>
  <c r="BT127" i="1" s="1"/>
  <c r="BP139" i="1"/>
  <c r="BS139" i="1"/>
  <c r="BS141" i="1" s="1"/>
  <c r="BO126" i="1"/>
  <c r="BO128" i="1" s="1"/>
  <c r="BM87" i="1"/>
  <c r="BM89" i="1" s="1"/>
  <c r="BM48" i="1"/>
  <c r="BN100" i="1"/>
  <c r="BU152" i="1"/>
  <c r="BU154" i="1" s="1"/>
  <c r="BQ113" i="1"/>
  <c r="BQ74" i="1"/>
  <c r="BQ76" i="1" s="1"/>
  <c r="BR35" i="1"/>
  <c r="BR37" i="1" s="1"/>
  <c r="BM35" i="1"/>
  <c r="BM37" i="1" s="1"/>
  <c r="BQ22" i="1"/>
  <c r="BQ23" i="1" s="1"/>
  <c r="BO22" i="1"/>
  <c r="BO24" i="1" s="1"/>
  <c r="BR87" i="1"/>
  <c r="BN152" i="1"/>
  <c r="BN154" i="1" s="1"/>
  <c r="BU35" i="1"/>
  <c r="BR22" i="1"/>
  <c r="BR24" i="1" s="1"/>
  <c r="BT35" i="1"/>
  <c r="BT37" i="1" s="1"/>
  <c r="BM74" i="1"/>
  <c r="BS100" i="1"/>
  <c r="BS101" i="1" s="1"/>
  <c r="BM61" i="1"/>
  <c r="BM63" i="1" s="1"/>
  <c r="BS22" i="1"/>
  <c r="BO48" i="1"/>
  <c r="BT61" i="1"/>
  <c r="BT63" i="1" s="1"/>
  <c r="BU87" i="1"/>
  <c r="BP22" i="1"/>
  <c r="BR113" i="1"/>
  <c r="BN61" i="1"/>
  <c r="BS48" i="1"/>
  <c r="BN48" i="1"/>
  <c r="BN126" i="1"/>
  <c r="BQ35" i="1"/>
  <c r="BP113" i="1"/>
  <c r="BN22" i="1"/>
  <c r="BO87" i="1"/>
  <c r="BU126" i="1"/>
  <c r="BQ48" i="1"/>
  <c r="BQ139" i="1"/>
  <c r="BS35" i="1"/>
  <c r="BM126" i="1"/>
  <c r="BP126" i="1"/>
  <c r="BR100" i="1"/>
  <c r="BM22" i="1"/>
  <c r="BO74" i="1"/>
  <c r="BQ152" i="1"/>
  <c r="BT152" i="1"/>
  <c r="BS74" i="1"/>
  <c r="BT139" i="1"/>
  <c r="BS113" i="1"/>
  <c r="BU139" i="1"/>
  <c r="BU74" i="1"/>
  <c r="BR152" i="1"/>
  <c r="BS61" i="1"/>
  <c r="BR139" i="1"/>
  <c r="BU22" i="1"/>
  <c r="BU113" i="1"/>
  <c r="BP87" i="1"/>
  <c r="BS87" i="1"/>
  <c r="BM152" i="1"/>
  <c r="BR48" i="1"/>
  <c r="BO61" i="1"/>
  <c r="BP48" i="1"/>
  <c r="BT48" i="1"/>
  <c r="BR61" i="1"/>
  <c r="BU48" i="1"/>
  <c r="BN87" i="1"/>
  <c r="BT113" i="1"/>
  <c r="BP35" i="1"/>
  <c r="BO113" i="1"/>
  <c r="BU100" i="1"/>
  <c r="BN74" i="1"/>
  <c r="BP152" i="1"/>
  <c r="AK22" i="1"/>
  <c r="AK24" i="1" s="1"/>
  <c r="AL61" i="1"/>
  <c r="AL65" i="1" s="1"/>
  <c r="AQ126" i="1"/>
  <c r="AQ130" i="1" s="1"/>
  <c r="AK152" i="1"/>
  <c r="AK156" i="1" s="1"/>
  <c r="AI87" i="1"/>
  <c r="AI91" i="1" s="1"/>
  <c r="AK87" i="1"/>
  <c r="AK91" i="1" s="1"/>
  <c r="AP113" i="1"/>
  <c r="AP117" i="1" s="1"/>
  <c r="AJ100" i="1"/>
  <c r="AJ104" i="1" s="1"/>
  <c r="AJ22" i="1"/>
  <c r="AJ35" i="1"/>
  <c r="AJ39" i="1" s="1"/>
  <c r="AQ48" i="1"/>
  <c r="AQ52" i="1" s="1"/>
  <c r="AI100" i="1"/>
  <c r="AI104" i="1" s="1"/>
  <c r="AK139" i="1"/>
  <c r="AK143" i="1" s="1"/>
  <c r="AI139" i="1"/>
  <c r="AI143" i="1" s="1"/>
  <c r="AL126" i="1"/>
  <c r="AL130" i="1" s="1"/>
  <c r="AJ113" i="1"/>
  <c r="AJ117" i="1" s="1"/>
  <c r="AP126" i="1"/>
  <c r="AP130" i="1" s="1"/>
  <c r="AO74" i="1"/>
  <c r="AO78" i="1" s="1"/>
  <c r="AP48" i="1"/>
  <c r="AP52" i="1" s="1"/>
  <c r="AQ61" i="1"/>
  <c r="AQ65" i="1" s="1"/>
  <c r="AP35" i="1"/>
  <c r="AP39" i="1" s="1"/>
  <c r="AM35" i="1"/>
  <c r="AM39" i="1" s="1"/>
  <c r="AP87" i="1"/>
  <c r="AP91" i="1" s="1"/>
  <c r="AM113" i="1"/>
  <c r="AM117" i="1" s="1"/>
  <c r="AO126" i="1"/>
  <c r="AO130" i="1" s="1"/>
  <c r="AJ87" i="1"/>
  <c r="AJ91" i="1" s="1"/>
  <c r="AM74" i="1"/>
  <c r="AM78" i="1" s="1"/>
  <c r="AN22" i="1"/>
  <c r="AN48" i="1"/>
  <c r="AN52" i="1" s="1"/>
  <c r="AL113" i="1"/>
  <c r="AL117" i="1" s="1"/>
  <c r="AN100" i="1"/>
  <c r="AN104" i="1" s="1"/>
  <c r="AM126" i="1"/>
  <c r="AM130" i="1" s="1"/>
  <c r="AQ87" i="1"/>
  <c r="AQ91" i="1" s="1"/>
  <c r="AN152" i="1"/>
  <c r="AN156" i="1" s="1"/>
  <c r="AK48" i="1"/>
  <c r="AK52" i="1" s="1"/>
  <c r="AI35" i="1"/>
  <c r="AI39" i="1" s="1"/>
  <c r="AQ152" i="1"/>
  <c r="AQ156" i="1" s="1"/>
  <c r="AJ61" i="1"/>
  <c r="AJ65" i="1" s="1"/>
  <c r="AI152" i="1"/>
  <c r="AI156" i="1" s="1"/>
  <c r="AN139" i="1"/>
  <c r="AN143" i="1" s="1"/>
  <c r="AL139" i="1"/>
  <c r="AL143" i="1" s="1"/>
  <c r="AI126" i="1"/>
  <c r="AI130" i="1" s="1"/>
  <c r="AN35" i="1"/>
  <c r="AN39" i="1" s="1"/>
  <c r="AM87" i="1"/>
  <c r="AM91" i="1" s="1"/>
  <c r="AO139" i="1"/>
  <c r="AO143" i="1" s="1"/>
  <c r="AL48" i="1"/>
  <c r="AL52" i="1" s="1"/>
  <c r="AN126" i="1"/>
  <c r="AN130" i="1" s="1"/>
  <c r="AK35" i="1"/>
  <c r="AK39" i="1" s="1"/>
  <c r="AK74" i="1"/>
  <c r="AK78" i="1" s="1"/>
  <c r="AL100" i="1"/>
  <c r="AL104" i="1" s="1"/>
  <c r="AO48" i="1"/>
  <c r="AO52" i="1" s="1"/>
  <c r="AP100" i="1"/>
  <c r="AP104" i="1" s="1"/>
  <c r="AK113" i="1"/>
  <c r="AK117" i="1" s="1"/>
  <c r="AJ152" i="1"/>
  <c r="AJ156" i="1" s="1"/>
  <c r="AI74" i="1"/>
  <c r="AI78" i="1" s="1"/>
  <c r="AO35" i="1"/>
  <c r="AO39" i="1" s="1"/>
  <c r="AK100" i="1"/>
  <c r="AK104" i="1" s="1"/>
  <c r="AQ139" i="1"/>
  <c r="AQ143" i="1" s="1"/>
  <c r="AN74" i="1"/>
  <c r="AN78" i="1" s="1"/>
  <c r="AO22" i="1"/>
  <c r="AM100" i="1"/>
  <c r="AM104" i="1" s="1"/>
  <c r="AI61" i="1"/>
  <c r="AI65" i="1" s="1"/>
  <c r="AJ139" i="1"/>
  <c r="AJ143" i="1" s="1"/>
  <c r="AL152" i="1"/>
  <c r="AL156" i="1" s="1"/>
  <c r="AN113" i="1"/>
  <c r="AN117" i="1" s="1"/>
  <c r="AK61" i="1"/>
  <c r="AK65" i="1" s="1"/>
  <c r="AQ100" i="1"/>
  <c r="AQ104" i="1" s="1"/>
  <c r="AK126" i="1"/>
  <c r="AK130" i="1" s="1"/>
  <c r="AI22" i="1"/>
  <c r="AO87" i="1"/>
  <c r="AO91" i="1" s="1"/>
  <c r="AQ22" i="1"/>
  <c r="AP152" i="1"/>
  <c r="AP156" i="1" s="1"/>
  <c r="AO113" i="1"/>
  <c r="AO117" i="1" s="1"/>
  <c r="AP22" i="1"/>
  <c r="AJ126" i="1"/>
  <c r="AJ130" i="1" s="1"/>
  <c r="AI48" i="1"/>
  <c r="AI52" i="1" s="1"/>
  <c r="AL87" i="1"/>
  <c r="AL91" i="1" s="1"/>
  <c r="AO152" i="1"/>
  <c r="AO156" i="1" s="1"/>
  <c r="AM22" i="1"/>
  <c r="AP139" i="1"/>
  <c r="AP143" i="1" s="1"/>
  <c r="AM61" i="1"/>
  <c r="AM65" i="1" s="1"/>
  <c r="AQ35" i="1"/>
  <c r="AQ39" i="1" s="1"/>
  <c r="AN87" i="1"/>
  <c r="AN91" i="1" s="1"/>
  <c r="AI113" i="1"/>
  <c r="AI117" i="1" s="1"/>
  <c r="AL35" i="1"/>
  <c r="AL39" i="1" s="1"/>
  <c r="AJ74" i="1"/>
  <c r="AJ78" i="1" s="1"/>
  <c r="AL22" i="1"/>
  <c r="AM152" i="1"/>
  <c r="AM156" i="1" s="1"/>
  <c r="AQ113" i="1"/>
  <c r="AQ117" i="1" s="1"/>
  <c r="AM48" i="1"/>
  <c r="AM52" i="1" s="1"/>
  <c r="AM139" i="1"/>
  <c r="AM143" i="1" s="1"/>
  <c r="AL74" i="1"/>
  <c r="AL78" i="1" s="1"/>
  <c r="AO100" i="1"/>
  <c r="AO104" i="1" s="1"/>
  <c r="AP74" i="1"/>
  <c r="AP78" i="1" s="1"/>
  <c r="AN61" i="1"/>
  <c r="AN65" i="1" s="1"/>
  <c r="AJ48" i="1"/>
  <c r="AJ52" i="1" s="1"/>
  <c r="AO61" i="1"/>
  <c r="AO65" i="1" s="1"/>
  <c r="AQ74" i="1"/>
  <c r="AQ78" i="1" s="1"/>
  <c r="CN43" i="1"/>
  <c r="CP43" i="1" s="1"/>
  <c r="CN58" i="1"/>
  <c r="CP58" i="1" s="1"/>
  <c r="CN55" i="1"/>
  <c r="CP55" i="1" s="1"/>
  <c r="CN125" i="1"/>
  <c r="CP125" i="1" s="1"/>
  <c r="CN99" i="1"/>
  <c r="CP99" i="1" s="1"/>
  <c r="CN17" i="1"/>
  <c r="CP17" i="1" s="1"/>
  <c r="CN119" i="1"/>
  <c r="CP119" i="1" s="1"/>
  <c r="CN189" i="1"/>
  <c r="CP189" i="1" s="1"/>
  <c r="CN235" i="1"/>
  <c r="CP235" i="1" s="1"/>
  <c r="CN114" i="1"/>
  <c r="CP114" i="1" s="1"/>
  <c r="CN144" i="1"/>
  <c r="CP144" i="1" s="1"/>
  <c r="CN3" i="1"/>
  <c r="CP3" i="1" s="1"/>
  <c r="CN226" i="1"/>
  <c r="CP226" i="1" s="1"/>
  <c r="CN208" i="1"/>
  <c r="CP208" i="1" s="1"/>
  <c r="CN227" i="1"/>
  <c r="CP227" i="1" s="1"/>
  <c r="CN74" i="1"/>
  <c r="CP74" i="1" s="1"/>
  <c r="CN80" i="1"/>
  <c r="CP80" i="1" s="1"/>
  <c r="CN190" i="1"/>
  <c r="CP190" i="1" s="1"/>
  <c r="CN196" i="1"/>
  <c r="CP196" i="1" s="1"/>
  <c r="CN35" i="1"/>
  <c r="CP35" i="1" s="1"/>
  <c r="CN171" i="1"/>
  <c r="CP171" i="1" s="1"/>
  <c r="CN209" i="1"/>
  <c r="CP209" i="1" s="1"/>
  <c r="CN16" i="1"/>
  <c r="CP16" i="1" s="1"/>
  <c r="CN126" i="1"/>
  <c r="CP126" i="1" s="1"/>
  <c r="CN132" i="1"/>
  <c r="CP132" i="1" s="1"/>
  <c r="CN202" i="1"/>
  <c r="CP202" i="1" s="1"/>
  <c r="CN163" i="1"/>
  <c r="CP163" i="1" s="1"/>
  <c r="CN145" i="1"/>
  <c r="CP145" i="1" s="1"/>
  <c r="CN247" i="1"/>
  <c r="CP247" i="1" s="1"/>
  <c r="CN62" i="1"/>
  <c r="CP62" i="1" s="1"/>
  <c r="CN68" i="1"/>
  <c r="CP68" i="1" s="1"/>
  <c r="CN61" i="1"/>
  <c r="CP61" i="1" s="1"/>
  <c r="CN107" i="1"/>
  <c r="CP107" i="1" s="1"/>
  <c r="CN81" i="1"/>
  <c r="CP81" i="1" s="1"/>
  <c r="CN183" i="1"/>
  <c r="CP183" i="1" s="1"/>
  <c r="CN253" i="1"/>
  <c r="CP253" i="1" s="1"/>
  <c r="CN4" i="1"/>
  <c r="CP4" i="1" s="1"/>
  <c r="CN201" i="1"/>
  <c r="CP201" i="1" s="1"/>
  <c r="CN73" i="1"/>
  <c r="CP73" i="1" s="1"/>
  <c r="CN42" i="1"/>
  <c r="CP42" i="1" s="1"/>
  <c r="CN136" i="1"/>
  <c r="CP136" i="1" s="1"/>
  <c r="CN8" i="1"/>
  <c r="CP8" i="1" s="1"/>
  <c r="CN175" i="1"/>
  <c r="CP175" i="1" s="1"/>
  <c r="CN47" i="1"/>
  <c r="CP47" i="1" s="1"/>
  <c r="CN246" i="1"/>
  <c r="CP246" i="1" s="1"/>
  <c r="CN182" i="1"/>
  <c r="CP182" i="1" s="1"/>
  <c r="CN54" i="1"/>
  <c r="CP54" i="1" s="1"/>
  <c r="CN245" i="1"/>
  <c r="CP245" i="1" s="1"/>
  <c r="CN181" i="1"/>
  <c r="CP181" i="1" s="1"/>
  <c r="CN117" i="1"/>
  <c r="CP117" i="1" s="1"/>
  <c r="CN53" i="1"/>
  <c r="CP53" i="1" s="1"/>
  <c r="CN252" i="1"/>
  <c r="CP252" i="1" s="1"/>
  <c r="CN188" i="1"/>
  <c r="CP188" i="1" s="1"/>
  <c r="CN124" i="1"/>
  <c r="CP124" i="1" s="1"/>
  <c r="CN60" i="1"/>
  <c r="CP60" i="1" s="1"/>
  <c r="CN219" i="1"/>
  <c r="CP219" i="1" s="1"/>
  <c r="CN155" i="1"/>
  <c r="CP155" i="1" s="1"/>
  <c r="CN91" i="1"/>
  <c r="CP91" i="1" s="1"/>
  <c r="CN27" i="1"/>
  <c r="CP27" i="1" s="1"/>
  <c r="CN34" i="1"/>
  <c r="CP34" i="1" s="1"/>
  <c r="CN193" i="1"/>
  <c r="CP193" i="1" s="1"/>
  <c r="CN129" i="1"/>
  <c r="CP129" i="1" s="1"/>
  <c r="CN65" i="1"/>
  <c r="CP65" i="1" s="1"/>
  <c r="CN218" i="1"/>
  <c r="CP218" i="1" s="1"/>
  <c r="CN10" i="1"/>
  <c r="CP10" i="1" s="1"/>
  <c r="CN192" i="1"/>
  <c r="CP192" i="1" s="1"/>
  <c r="CN128" i="1"/>
  <c r="CP128" i="1" s="1"/>
  <c r="CN64" i="1"/>
  <c r="CP64" i="1" s="1"/>
  <c r="CN234" i="1"/>
  <c r="CP234" i="1" s="1"/>
  <c r="CN231" i="1"/>
  <c r="CP231" i="1" s="1"/>
  <c r="CN167" i="1"/>
  <c r="CP167" i="1" s="1"/>
  <c r="CN103" i="1"/>
  <c r="CP103" i="1" s="1"/>
  <c r="CN39" i="1"/>
  <c r="CP39" i="1" s="1"/>
  <c r="CN138" i="1"/>
  <c r="CP138" i="1" s="1"/>
  <c r="CN238" i="1"/>
  <c r="CP238" i="1" s="1"/>
  <c r="CN174" i="1"/>
  <c r="CP174" i="1" s="1"/>
  <c r="CN110" i="1"/>
  <c r="CP110" i="1" s="1"/>
  <c r="CN46" i="1"/>
  <c r="CP46" i="1" s="1"/>
  <c r="CN237" i="1"/>
  <c r="CP237" i="1" s="1"/>
  <c r="CN173" i="1"/>
  <c r="CP173" i="1" s="1"/>
  <c r="CN109" i="1"/>
  <c r="CP109" i="1" s="1"/>
  <c r="CN45" i="1"/>
  <c r="CP45" i="1" s="1"/>
  <c r="CN244" i="1"/>
  <c r="CP244" i="1" s="1"/>
  <c r="CN180" i="1"/>
  <c r="CP180" i="1" s="1"/>
  <c r="CN116" i="1"/>
  <c r="CP116" i="1" s="1"/>
  <c r="CN52" i="1"/>
  <c r="CP52" i="1" s="1"/>
  <c r="CN137" i="1"/>
  <c r="CP137" i="1" s="1"/>
  <c r="CN9" i="1"/>
  <c r="CP9" i="1" s="1"/>
  <c r="CN200" i="1"/>
  <c r="CP200" i="1" s="1"/>
  <c r="CN72" i="1"/>
  <c r="CP72" i="1" s="1"/>
  <c r="CN239" i="1"/>
  <c r="CP239" i="1" s="1"/>
  <c r="CN111" i="1"/>
  <c r="CP111" i="1" s="1"/>
  <c r="CN170" i="1"/>
  <c r="CP170" i="1" s="1"/>
  <c r="CN118" i="1"/>
  <c r="CP118" i="1" s="1"/>
  <c r="CN211" i="1"/>
  <c r="CP211" i="1" s="1"/>
  <c r="CN147" i="1"/>
  <c r="CP147" i="1" s="1"/>
  <c r="CN83" i="1"/>
  <c r="CP83" i="1" s="1"/>
  <c r="CN19" i="1"/>
  <c r="CP19" i="1" s="1"/>
  <c r="CN249" i="1"/>
  <c r="CP249" i="1" s="1"/>
  <c r="CN185" i="1"/>
  <c r="CP185" i="1" s="1"/>
  <c r="CN121" i="1"/>
  <c r="CP121" i="1" s="1"/>
  <c r="CN57" i="1"/>
  <c r="CP57" i="1" s="1"/>
  <c r="CN186" i="1"/>
  <c r="CP186" i="1" s="1"/>
  <c r="CN248" i="1"/>
  <c r="CP248" i="1" s="1"/>
  <c r="CN184" i="1"/>
  <c r="CP184" i="1" s="1"/>
  <c r="CN120" i="1"/>
  <c r="CP120" i="1" s="1"/>
  <c r="CN56" i="1"/>
  <c r="CP56" i="1" s="1"/>
  <c r="CN194" i="1"/>
  <c r="CP194" i="1" s="1"/>
  <c r="CN223" i="1"/>
  <c r="CP223" i="1" s="1"/>
  <c r="CN159" i="1"/>
  <c r="CP159" i="1" s="1"/>
  <c r="CN95" i="1"/>
  <c r="CP95" i="1" s="1"/>
  <c r="CN31" i="1"/>
  <c r="CP31" i="1" s="1"/>
  <c r="CN106" i="1"/>
  <c r="CP106" i="1" s="1"/>
  <c r="CN230" i="1"/>
  <c r="CP230" i="1" s="1"/>
  <c r="CN166" i="1"/>
  <c r="CP166" i="1" s="1"/>
  <c r="CN102" i="1"/>
  <c r="CP102" i="1" s="1"/>
  <c r="CN38" i="1"/>
  <c r="CP38" i="1" s="1"/>
  <c r="CN229" i="1"/>
  <c r="CP229" i="1" s="1"/>
  <c r="CN165" i="1"/>
  <c r="CP165" i="1" s="1"/>
  <c r="CN101" i="1"/>
  <c r="CP101" i="1" s="1"/>
  <c r="CN37" i="1"/>
  <c r="CP37" i="1" s="1"/>
  <c r="CN236" i="1"/>
  <c r="CP236" i="1" s="1"/>
  <c r="CN172" i="1"/>
  <c r="CP172" i="1" s="1"/>
  <c r="CN108" i="1"/>
  <c r="CP108" i="1" s="1"/>
  <c r="CN44" i="1"/>
  <c r="CP44" i="1" s="1"/>
  <c r="CN139" i="1"/>
  <c r="CP139" i="1" s="1"/>
  <c r="CN241" i="1"/>
  <c r="CP241" i="1" s="1"/>
  <c r="CN49" i="1"/>
  <c r="CP49" i="1" s="1"/>
  <c r="CN176" i="1"/>
  <c r="CP176" i="1" s="1"/>
  <c r="CN162" i="1"/>
  <c r="CP162" i="1" s="1"/>
  <c r="CN87" i="1"/>
  <c r="CP87" i="1" s="1"/>
  <c r="CN222" i="1"/>
  <c r="CP222" i="1" s="1"/>
  <c r="CN94" i="1"/>
  <c r="CP94" i="1" s="1"/>
  <c r="CN221" i="1"/>
  <c r="CP221" i="1" s="1"/>
  <c r="CN93" i="1"/>
  <c r="CP93" i="1" s="1"/>
  <c r="CN228" i="1"/>
  <c r="CP228" i="1" s="1"/>
  <c r="CN36" i="1"/>
  <c r="CP36" i="1" s="1"/>
  <c r="CN195" i="1"/>
  <c r="CP195" i="1" s="1"/>
  <c r="CN67" i="1"/>
  <c r="CP67" i="1" s="1"/>
  <c r="CN233" i="1"/>
  <c r="CP233" i="1" s="1"/>
  <c r="CN169" i="1"/>
  <c r="CP169" i="1" s="1"/>
  <c r="CN105" i="1"/>
  <c r="CP105" i="1" s="1"/>
  <c r="CN41" i="1"/>
  <c r="CP41" i="1" s="1"/>
  <c r="CN130" i="1"/>
  <c r="CP130" i="1" s="1"/>
  <c r="CN232" i="1"/>
  <c r="CP232" i="1" s="1"/>
  <c r="CN168" i="1"/>
  <c r="CP168" i="1" s="1"/>
  <c r="CN104" i="1"/>
  <c r="CP104" i="1" s="1"/>
  <c r="CN40" i="1"/>
  <c r="CP40" i="1" s="1"/>
  <c r="CN122" i="1"/>
  <c r="CP122" i="1" s="1"/>
  <c r="CN207" i="1"/>
  <c r="CP207" i="1" s="1"/>
  <c r="CN143" i="1"/>
  <c r="CP143" i="1" s="1"/>
  <c r="CN79" i="1"/>
  <c r="CP79" i="1" s="1"/>
  <c r="CN15" i="1"/>
  <c r="CP15" i="1" s="1"/>
  <c r="CN66" i="1"/>
  <c r="CP66" i="1" s="1"/>
  <c r="CN214" i="1"/>
  <c r="CP214" i="1" s="1"/>
  <c r="CN150" i="1"/>
  <c r="CP150" i="1" s="1"/>
  <c r="CN86" i="1"/>
  <c r="CP86" i="1" s="1"/>
  <c r="CN22" i="1"/>
  <c r="CP22" i="1" s="1"/>
  <c r="CN213" i="1"/>
  <c r="CP213" i="1" s="1"/>
  <c r="CN149" i="1"/>
  <c r="CP149" i="1" s="1"/>
  <c r="CN85" i="1"/>
  <c r="CP85" i="1" s="1"/>
  <c r="CN21" i="1"/>
  <c r="CP21" i="1" s="1"/>
  <c r="CN220" i="1"/>
  <c r="CP220" i="1" s="1"/>
  <c r="CN156" i="1"/>
  <c r="CP156" i="1" s="1"/>
  <c r="CN92" i="1"/>
  <c r="CP92" i="1" s="1"/>
  <c r="CN28" i="1"/>
  <c r="CP28" i="1" s="1"/>
  <c r="CN75" i="1"/>
  <c r="CP75" i="1" s="1"/>
  <c r="CN177" i="1"/>
  <c r="CP177" i="1" s="1"/>
  <c r="CN154" i="1"/>
  <c r="CP154" i="1" s="1"/>
  <c r="CN112" i="1"/>
  <c r="CP112" i="1" s="1"/>
  <c r="CN215" i="1"/>
  <c r="CP215" i="1" s="1"/>
  <c r="CN23" i="1"/>
  <c r="CP23" i="1" s="1"/>
  <c r="CN158" i="1"/>
  <c r="CP158" i="1" s="1"/>
  <c r="CN30" i="1"/>
  <c r="CP30" i="1" s="1"/>
  <c r="CN157" i="1"/>
  <c r="CP157" i="1" s="1"/>
  <c r="CN29" i="1"/>
  <c r="CP29" i="1" s="1"/>
  <c r="CN164" i="1"/>
  <c r="CP164" i="1" s="1"/>
  <c r="CN100" i="1"/>
  <c r="CP100" i="1" s="1"/>
  <c r="CN242" i="1"/>
  <c r="CP242" i="1" s="1"/>
  <c r="CN131" i="1"/>
  <c r="CP131" i="1" s="1"/>
  <c r="CN210" i="1"/>
  <c r="CP210" i="1" s="1"/>
  <c r="CN251" i="1"/>
  <c r="CP251" i="1" s="1"/>
  <c r="CN187" i="1"/>
  <c r="CP187" i="1" s="1"/>
  <c r="CN123" i="1"/>
  <c r="CP123" i="1" s="1"/>
  <c r="CN59" i="1"/>
  <c r="CP59" i="1" s="1"/>
  <c r="CN178" i="1"/>
  <c r="CP178" i="1" s="1"/>
  <c r="CN225" i="1"/>
  <c r="CP225" i="1" s="1"/>
  <c r="CN161" i="1"/>
  <c r="CP161" i="1" s="1"/>
  <c r="CN97" i="1"/>
  <c r="CP97" i="1" s="1"/>
  <c r="CN33" i="1"/>
  <c r="CP33" i="1" s="1"/>
  <c r="CN98" i="1"/>
  <c r="CP98" i="1" s="1"/>
  <c r="CN224" i="1"/>
  <c r="CP224" i="1" s="1"/>
  <c r="CN160" i="1"/>
  <c r="CP160" i="1" s="1"/>
  <c r="CN96" i="1"/>
  <c r="CP96" i="1" s="1"/>
  <c r="CN32" i="1"/>
  <c r="CP32" i="1" s="1"/>
  <c r="CN18" i="1"/>
  <c r="CP18" i="1" s="1"/>
  <c r="CN199" i="1"/>
  <c r="CP199" i="1" s="1"/>
  <c r="CN135" i="1"/>
  <c r="CP135" i="1" s="1"/>
  <c r="CN71" i="1"/>
  <c r="CP71" i="1" s="1"/>
  <c r="CN7" i="1"/>
  <c r="CP7" i="1" s="1"/>
  <c r="CN50" i="1"/>
  <c r="CP50" i="1" s="1"/>
  <c r="CN206" i="1"/>
  <c r="CP206" i="1" s="1"/>
  <c r="CN142" i="1"/>
  <c r="CP142" i="1" s="1"/>
  <c r="CN78" i="1"/>
  <c r="CP78" i="1" s="1"/>
  <c r="CN14" i="1"/>
  <c r="CP14" i="1" s="1"/>
  <c r="CN205" i="1"/>
  <c r="CP205" i="1" s="1"/>
  <c r="CN141" i="1"/>
  <c r="CP141" i="1" s="1"/>
  <c r="CN77" i="1"/>
  <c r="CP77" i="1" s="1"/>
  <c r="CN13" i="1"/>
  <c r="CP13" i="1" s="1"/>
  <c r="CN212" i="1"/>
  <c r="CP212" i="1" s="1"/>
  <c r="CN148" i="1"/>
  <c r="CP148" i="1" s="1"/>
  <c r="CN84" i="1"/>
  <c r="CP84" i="1" s="1"/>
  <c r="CN20" i="1"/>
  <c r="CP20" i="1" s="1"/>
  <c r="CN203" i="1"/>
  <c r="CP203" i="1" s="1"/>
  <c r="CN11" i="1"/>
  <c r="CP11" i="1" s="1"/>
  <c r="CN113" i="1"/>
  <c r="CP113" i="1" s="1"/>
  <c r="CN240" i="1"/>
  <c r="CP240" i="1" s="1"/>
  <c r="CN48" i="1"/>
  <c r="CP48" i="1" s="1"/>
  <c r="CN151" i="1"/>
  <c r="CP151" i="1" s="1"/>
  <c r="CN90" i="1"/>
  <c r="CP90" i="1" s="1"/>
  <c r="CN243" i="1"/>
  <c r="CP243" i="1" s="1"/>
  <c r="CN179" i="1"/>
  <c r="CP179" i="1" s="1"/>
  <c r="CN115" i="1"/>
  <c r="CP115" i="1" s="1"/>
  <c r="CN51" i="1"/>
  <c r="CP51" i="1" s="1"/>
  <c r="CN146" i="1"/>
  <c r="CP146" i="1" s="1"/>
  <c r="CN217" i="1"/>
  <c r="CP217" i="1" s="1"/>
  <c r="CN153" i="1"/>
  <c r="CP153" i="1" s="1"/>
  <c r="CN89" i="1"/>
  <c r="CP89" i="1" s="1"/>
  <c r="CN25" i="1"/>
  <c r="CP25" i="1" s="1"/>
  <c r="CN82" i="1"/>
  <c r="CP82" i="1" s="1"/>
  <c r="CN216" i="1"/>
  <c r="CP216" i="1" s="1"/>
  <c r="CN152" i="1"/>
  <c r="CP152" i="1" s="1"/>
  <c r="CN88" i="1"/>
  <c r="CP88" i="1" s="1"/>
  <c r="CN24" i="1"/>
  <c r="CP24" i="1" s="1"/>
  <c r="E59" i="1"/>
  <c r="CN191" i="1"/>
  <c r="CP191" i="1" s="1"/>
  <c r="CN127" i="1"/>
  <c r="CP127" i="1" s="1"/>
  <c r="CN63" i="1"/>
  <c r="CP63" i="1" s="1"/>
  <c r="CN250" i="1"/>
  <c r="CP250" i="1" s="1"/>
  <c r="CN26" i="1"/>
  <c r="CP26" i="1" s="1"/>
  <c r="CN198" i="1"/>
  <c r="CP198" i="1" s="1"/>
  <c r="CN134" i="1"/>
  <c r="CP134" i="1" s="1"/>
  <c r="CN70" i="1"/>
  <c r="CP70" i="1" s="1"/>
  <c r="CN6" i="1"/>
  <c r="CP6" i="1" s="1"/>
  <c r="CN197" i="1"/>
  <c r="CP197" i="1" s="1"/>
  <c r="CN133" i="1"/>
  <c r="CP133" i="1" s="1"/>
  <c r="CN69" i="1"/>
  <c r="CP69" i="1" s="1"/>
  <c r="CN5" i="1"/>
  <c r="CP5" i="1" s="1"/>
  <c r="CN204" i="1"/>
  <c r="CP204" i="1" s="1"/>
  <c r="CN140" i="1"/>
  <c r="CP140" i="1" s="1"/>
  <c r="CN76" i="1"/>
  <c r="CP76" i="1" s="1"/>
  <c r="CN12" i="1"/>
  <c r="CP12" i="1" s="1"/>
  <c r="B39" i="1"/>
  <c r="H39" i="1" s="1"/>
  <c r="E47" i="1"/>
  <c r="BF128" i="1" l="1"/>
  <c r="BF129" i="1" s="1"/>
  <c r="CE89" i="1"/>
  <c r="CE85" i="1" s="1"/>
  <c r="CG37" i="1"/>
  <c r="CG29" i="1" s="1"/>
  <c r="CH154" i="1"/>
  <c r="CI115" i="1"/>
  <c r="CF37" i="1"/>
  <c r="CF32" i="1" s="1"/>
  <c r="BF78" i="1"/>
  <c r="BF77" i="1" s="1"/>
  <c r="CH128" i="1"/>
  <c r="BA156" i="1"/>
  <c r="BA155" i="1" s="1"/>
  <c r="CG76" i="1"/>
  <c r="BF91" i="1"/>
  <c r="BF90" i="1" s="1"/>
  <c r="BF81" i="1" s="1"/>
  <c r="CB63" i="1"/>
  <c r="CJ50" i="1"/>
  <c r="CJ43" i="1" s="1"/>
  <c r="CH50" i="1"/>
  <c r="BE50" i="1"/>
  <c r="BE51" i="1" s="1"/>
  <c r="AZ78" i="1"/>
  <c r="AZ77" i="1" s="1"/>
  <c r="AZ68" i="1" s="1"/>
  <c r="CI32" i="1"/>
  <c r="CE76" i="1"/>
  <c r="CB31" i="1"/>
  <c r="CD32" i="1"/>
  <c r="AZ52" i="1"/>
  <c r="AZ51" i="1" s="1"/>
  <c r="AZ43" i="1" s="1"/>
  <c r="CJ33" i="1"/>
  <c r="CE63" i="1"/>
  <c r="CE55" i="1" s="1"/>
  <c r="CE50" i="1"/>
  <c r="CE43" i="1" s="1"/>
  <c r="CH115" i="1"/>
  <c r="CC94" i="1"/>
  <c r="CF44" i="1"/>
  <c r="CB86" i="1"/>
  <c r="CD102" i="1"/>
  <c r="CC37" i="1"/>
  <c r="CF76" i="1"/>
  <c r="CB76" i="1"/>
  <c r="CB115" i="1"/>
  <c r="CE115" i="1"/>
  <c r="CH89" i="1"/>
  <c r="CI128" i="1"/>
  <c r="CD89" i="1"/>
  <c r="CE37" i="1"/>
  <c r="CC89" i="1"/>
  <c r="CJ76" i="1"/>
  <c r="CE128" i="1"/>
  <c r="CI63" i="1"/>
  <c r="CD76" i="1"/>
  <c r="CG50" i="1"/>
  <c r="CJ63" i="1"/>
  <c r="CD50" i="1"/>
  <c r="CD115" i="1"/>
  <c r="CD141" i="1"/>
  <c r="CF115" i="1"/>
  <c r="CG128" i="1"/>
  <c r="CB141" i="1"/>
  <c r="CI102" i="1"/>
  <c r="CC115" i="1"/>
  <c r="CC50" i="1"/>
  <c r="CC63" i="1"/>
  <c r="CE154" i="1"/>
  <c r="CB50" i="1"/>
  <c r="CC141" i="1"/>
  <c r="CB128" i="1"/>
  <c r="CJ115" i="1"/>
  <c r="BO29" i="1"/>
  <c r="CI76" i="1"/>
  <c r="CD63" i="1"/>
  <c r="CH63" i="1"/>
  <c r="CF102" i="1"/>
  <c r="CI154" i="1"/>
  <c r="CD154" i="1"/>
  <c r="CD128" i="1"/>
  <c r="BF141" i="1"/>
  <c r="BF142" i="1" s="1"/>
  <c r="CF89" i="1"/>
  <c r="CJ89" i="1"/>
  <c r="CG102" i="1"/>
  <c r="CJ102" i="1"/>
  <c r="CG154" i="1"/>
  <c r="CH76" i="1"/>
  <c r="CC154" i="1"/>
  <c r="CJ141" i="1"/>
  <c r="CC128" i="1"/>
  <c r="CI50" i="1"/>
  <c r="CF128" i="1"/>
  <c r="CE102" i="1"/>
  <c r="CF63" i="1"/>
  <c r="CI89" i="1"/>
  <c r="CB154" i="1"/>
  <c r="CI141" i="1"/>
  <c r="CG115" i="1"/>
  <c r="CG89" i="1"/>
  <c r="CH102" i="1"/>
  <c r="CH37" i="1"/>
  <c r="CJ154" i="1"/>
  <c r="CF141" i="1"/>
  <c r="CH141" i="1"/>
  <c r="CJ128" i="1"/>
  <c r="CF154" i="1"/>
  <c r="CB102" i="1"/>
  <c r="BA63" i="1"/>
  <c r="BA64" i="1" s="1"/>
  <c r="BC63" i="1"/>
  <c r="BC64" i="1" s="1"/>
  <c r="BE130" i="1"/>
  <c r="BE129" i="1" s="1"/>
  <c r="BC117" i="1"/>
  <c r="BC116" i="1" s="1"/>
  <c r="BR19" i="1"/>
  <c r="BQ89" i="1"/>
  <c r="AX156" i="1"/>
  <c r="AX155" i="1" s="1"/>
  <c r="BD91" i="1"/>
  <c r="BD90" i="1" s="1"/>
  <c r="BE104" i="1"/>
  <c r="BE103" i="1" s="1"/>
  <c r="AP65" i="1"/>
  <c r="AP64" i="1" s="1"/>
  <c r="AP59" i="1" s="1"/>
  <c r="BB37" i="1"/>
  <c r="BB38" i="1" s="1"/>
  <c r="BE154" i="1"/>
  <c r="BE155" i="1" s="1"/>
  <c r="BN34" i="1"/>
  <c r="AX65" i="1"/>
  <c r="AX64" i="1" s="1"/>
  <c r="BT23" i="1"/>
  <c r="AP62" i="1"/>
  <c r="BC78" i="1"/>
  <c r="BC77" i="1" s="1"/>
  <c r="BR36" i="1"/>
  <c r="BO150" i="1"/>
  <c r="AZ104" i="1"/>
  <c r="AZ103" i="1" s="1"/>
  <c r="AY78" i="1"/>
  <c r="AY77" i="1" s="1"/>
  <c r="BQ102" i="1"/>
  <c r="BE117" i="1"/>
  <c r="BE116" i="1" s="1"/>
  <c r="AX117" i="1"/>
  <c r="AX116" i="1" s="1"/>
  <c r="BF39" i="1"/>
  <c r="BF38" i="1" s="1"/>
  <c r="BE89" i="1"/>
  <c r="BE90" i="1" s="1"/>
  <c r="BC102" i="1"/>
  <c r="BC103" i="1" s="1"/>
  <c r="AZ130" i="1"/>
  <c r="AZ129" i="1" s="1"/>
  <c r="BB89" i="1"/>
  <c r="BB90" i="1" s="1"/>
  <c r="BS127" i="1"/>
  <c r="BM141" i="1"/>
  <c r="AY65" i="1"/>
  <c r="AY64" i="1" s="1"/>
  <c r="BT75" i="1"/>
  <c r="BN141" i="1"/>
  <c r="BE78" i="1"/>
  <c r="BE77" i="1" s="1"/>
  <c r="BC37" i="1"/>
  <c r="BC38" i="1" s="1"/>
  <c r="BR76" i="1"/>
  <c r="AY143" i="1"/>
  <c r="AY142" i="1" s="1"/>
  <c r="BE141" i="1"/>
  <c r="BE143" i="1"/>
  <c r="AY154" i="1"/>
  <c r="AY156" i="1"/>
  <c r="AY102" i="1"/>
  <c r="AY104" i="1"/>
  <c r="BD129" i="1"/>
  <c r="AX102" i="1"/>
  <c r="AX104" i="1"/>
  <c r="AX143" i="1"/>
  <c r="AX141" i="1"/>
  <c r="BD117" i="1"/>
  <c r="BD115" i="1"/>
  <c r="BD39" i="1"/>
  <c r="BD37" i="1"/>
  <c r="AZ141" i="1"/>
  <c r="AZ143" i="1"/>
  <c r="AZ115" i="1"/>
  <c r="AZ117" i="1"/>
  <c r="BA39" i="1"/>
  <c r="BA37" i="1"/>
  <c r="BF52" i="1"/>
  <c r="BF50" i="1"/>
  <c r="BD65" i="1"/>
  <c r="BD63" i="1"/>
  <c r="AY115" i="1"/>
  <c r="AY117" i="1"/>
  <c r="BC52" i="1"/>
  <c r="BC50" i="1"/>
  <c r="BF65" i="1"/>
  <c r="BF63" i="1"/>
  <c r="BD52" i="1"/>
  <c r="BD50" i="1"/>
  <c r="BA78" i="1"/>
  <c r="BA76" i="1"/>
  <c r="AY37" i="1"/>
  <c r="AY39" i="1"/>
  <c r="AX52" i="1"/>
  <c r="AX50" i="1"/>
  <c r="AZ89" i="1"/>
  <c r="AZ91" i="1"/>
  <c r="AY89" i="1"/>
  <c r="AY91" i="1"/>
  <c r="BF154" i="1"/>
  <c r="BF156" i="1"/>
  <c r="BD156" i="1"/>
  <c r="BD154" i="1"/>
  <c r="AY50" i="1"/>
  <c r="AY52" i="1"/>
  <c r="BB143" i="1"/>
  <c r="BB141" i="1"/>
  <c r="BB78" i="1"/>
  <c r="BB76" i="1"/>
  <c r="BC91" i="1"/>
  <c r="BC89" i="1"/>
  <c r="BD104" i="1"/>
  <c r="BD102" i="1"/>
  <c r="BB104" i="1"/>
  <c r="BB102" i="1"/>
  <c r="BA117" i="1"/>
  <c r="BA115" i="1"/>
  <c r="AZ37" i="1"/>
  <c r="AZ39" i="1"/>
  <c r="AZ63" i="1"/>
  <c r="AZ65" i="1"/>
  <c r="BB117" i="1"/>
  <c r="BB115" i="1"/>
  <c r="BC143" i="1"/>
  <c r="BC141" i="1"/>
  <c r="AX78" i="1"/>
  <c r="AX76" i="1"/>
  <c r="BE65" i="1"/>
  <c r="BE63" i="1"/>
  <c r="AX89" i="1"/>
  <c r="AX91" i="1"/>
  <c r="BA130" i="1"/>
  <c r="BA128" i="1"/>
  <c r="AX39" i="1"/>
  <c r="AX37" i="1"/>
  <c r="BA141" i="1"/>
  <c r="BA143" i="1"/>
  <c r="BB52" i="1"/>
  <c r="BB50" i="1"/>
  <c r="BC130" i="1"/>
  <c r="BC128" i="1"/>
  <c r="BF117" i="1"/>
  <c r="BF115" i="1"/>
  <c r="BA52" i="1"/>
  <c r="BA50" i="1"/>
  <c r="BA91" i="1"/>
  <c r="BA89" i="1"/>
  <c r="BB130" i="1"/>
  <c r="BB128" i="1"/>
  <c r="BE39" i="1"/>
  <c r="BE37" i="1"/>
  <c r="BA102" i="1"/>
  <c r="BA104" i="1"/>
  <c r="AX130" i="1"/>
  <c r="AX128" i="1"/>
  <c r="AY128" i="1"/>
  <c r="AY130" i="1"/>
  <c r="BC156" i="1"/>
  <c r="BC154" i="1"/>
  <c r="BB65" i="1"/>
  <c r="BB63" i="1"/>
  <c r="BF102" i="1"/>
  <c r="BF104" i="1"/>
  <c r="BD78" i="1"/>
  <c r="BD76" i="1"/>
  <c r="BB156" i="1"/>
  <c r="BB154" i="1"/>
  <c r="AZ154" i="1"/>
  <c r="AZ156" i="1"/>
  <c r="BD141" i="1"/>
  <c r="BD143" i="1"/>
  <c r="BU153" i="1"/>
  <c r="BT59" i="1"/>
  <c r="BR89" i="1"/>
  <c r="BP98" i="1"/>
  <c r="BT31" i="1"/>
  <c r="BP75" i="1"/>
  <c r="BT62" i="1"/>
  <c r="BN140" i="1"/>
  <c r="BO153" i="1"/>
  <c r="BS128" i="1"/>
  <c r="BO36" i="1"/>
  <c r="BP76" i="1"/>
  <c r="BQ127" i="1"/>
  <c r="BT36" i="1"/>
  <c r="BM36" i="1"/>
  <c r="BM29" i="1"/>
  <c r="BO122" i="1"/>
  <c r="BO127" i="1"/>
  <c r="BQ128" i="1"/>
  <c r="BP62" i="1"/>
  <c r="BT20" i="1"/>
  <c r="BT76" i="1"/>
  <c r="BM102" i="1"/>
  <c r="BB24" i="1"/>
  <c r="BB26" i="1"/>
  <c r="BO21" i="1"/>
  <c r="BM62" i="1"/>
  <c r="BO23" i="1"/>
  <c r="BQ75" i="1"/>
  <c r="BD24" i="1"/>
  <c r="BD26" i="1"/>
  <c r="CF24" i="1"/>
  <c r="CH24" i="1"/>
  <c r="CE24" i="1"/>
  <c r="CI24" i="1"/>
  <c r="BP101" i="1"/>
  <c r="BR128" i="1"/>
  <c r="BO98" i="1"/>
  <c r="CG24" i="1"/>
  <c r="AX24" i="1"/>
  <c r="AX26" i="1"/>
  <c r="BF24" i="1"/>
  <c r="BF26" i="1"/>
  <c r="BA24" i="1"/>
  <c r="BA26" i="1"/>
  <c r="AY24" i="1"/>
  <c r="AY26" i="1"/>
  <c r="BQ114" i="1"/>
  <c r="BT88" i="1"/>
  <c r="BN36" i="1"/>
  <c r="BS102" i="1"/>
  <c r="BC24" i="1"/>
  <c r="BC26" i="1"/>
  <c r="CB24" i="1"/>
  <c r="CC24" i="1"/>
  <c r="BE24" i="1"/>
  <c r="BE26" i="1"/>
  <c r="CD24" i="1"/>
  <c r="BR88" i="1"/>
  <c r="BO101" i="1"/>
  <c r="BN115" i="1"/>
  <c r="BM58" i="1"/>
  <c r="AZ24" i="1"/>
  <c r="AZ26" i="1"/>
  <c r="CJ24" i="1"/>
  <c r="BS135" i="1"/>
  <c r="BT128" i="1"/>
  <c r="BQ63" i="1"/>
  <c r="BT102" i="1"/>
  <c r="BQ115" i="1"/>
  <c r="BM88" i="1"/>
  <c r="BR23" i="1"/>
  <c r="BR29" i="1"/>
  <c r="BS140" i="1"/>
  <c r="BO50" i="1"/>
  <c r="BO49" i="1"/>
  <c r="BN102" i="1"/>
  <c r="BN101" i="1"/>
  <c r="BM115" i="1"/>
  <c r="BS154" i="1"/>
  <c r="BM50" i="1"/>
  <c r="BM49" i="1"/>
  <c r="BN153" i="1"/>
  <c r="BM76" i="1"/>
  <c r="BM75" i="1"/>
  <c r="BQ24" i="1"/>
  <c r="BO141" i="1"/>
  <c r="BO140" i="1"/>
  <c r="BN151" i="1"/>
  <c r="BS24" i="1"/>
  <c r="BS23" i="1"/>
  <c r="BU63" i="1"/>
  <c r="BU37" i="1"/>
  <c r="BU30" i="1" s="1"/>
  <c r="BU36" i="1"/>
  <c r="BP141" i="1"/>
  <c r="BP140" i="1"/>
  <c r="BT29" i="1"/>
  <c r="BP37" i="1"/>
  <c r="BP36" i="1"/>
  <c r="BT50" i="1"/>
  <c r="BT49" i="1"/>
  <c r="BR154" i="1"/>
  <c r="BR153" i="1"/>
  <c r="BM128" i="1"/>
  <c r="BM127" i="1"/>
  <c r="BS50" i="1"/>
  <c r="BS49" i="1"/>
  <c r="BP50" i="1"/>
  <c r="BP49" i="1"/>
  <c r="BS89" i="1"/>
  <c r="BS88" i="1"/>
  <c r="BU76" i="1"/>
  <c r="BU75" i="1"/>
  <c r="BT154" i="1"/>
  <c r="BT153" i="1"/>
  <c r="BS37" i="1"/>
  <c r="BS36" i="1"/>
  <c r="BP154" i="1"/>
  <c r="BP153" i="1"/>
  <c r="BT115" i="1"/>
  <c r="BT114" i="1"/>
  <c r="BO63" i="1"/>
  <c r="BO62" i="1"/>
  <c r="BP89" i="1"/>
  <c r="BP88" i="1"/>
  <c r="BQ141" i="1"/>
  <c r="BQ140" i="1"/>
  <c r="BO89" i="1"/>
  <c r="BO88" i="1"/>
  <c r="BN63" i="1"/>
  <c r="BN62" i="1"/>
  <c r="BN76" i="1"/>
  <c r="BN75" i="1"/>
  <c r="BS115" i="1"/>
  <c r="BS114" i="1"/>
  <c r="BQ154" i="1"/>
  <c r="BQ153" i="1"/>
  <c r="BQ50" i="1"/>
  <c r="BQ49" i="1"/>
  <c r="BN24" i="1"/>
  <c r="BN23" i="1"/>
  <c r="BR115" i="1"/>
  <c r="BR114" i="1"/>
  <c r="BU102" i="1"/>
  <c r="BU101" i="1"/>
  <c r="BU115" i="1"/>
  <c r="BU114" i="1"/>
  <c r="BU141" i="1"/>
  <c r="BU140" i="1"/>
  <c r="BO76" i="1"/>
  <c r="BO75" i="1"/>
  <c r="BU128" i="1"/>
  <c r="BU127" i="1"/>
  <c r="BP115" i="1"/>
  <c r="BP114" i="1"/>
  <c r="BP24" i="1"/>
  <c r="BP23" i="1"/>
  <c r="BN89" i="1"/>
  <c r="BN88" i="1"/>
  <c r="BR50" i="1"/>
  <c r="BR49" i="1"/>
  <c r="BU24" i="1"/>
  <c r="BU23" i="1"/>
  <c r="BM24" i="1"/>
  <c r="BM23" i="1"/>
  <c r="BQ37" i="1"/>
  <c r="BQ36" i="1"/>
  <c r="BU50" i="1"/>
  <c r="BU49" i="1"/>
  <c r="BR141" i="1"/>
  <c r="BR140" i="1"/>
  <c r="BT141" i="1"/>
  <c r="BT140" i="1"/>
  <c r="BR102" i="1"/>
  <c r="BR101" i="1"/>
  <c r="BN128" i="1"/>
  <c r="BN127" i="1"/>
  <c r="BU89" i="1"/>
  <c r="BU88" i="1"/>
  <c r="BO115" i="1"/>
  <c r="BO114" i="1"/>
  <c r="BR63" i="1"/>
  <c r="BR62" i="1"/>
  <c r="BM154" i="1"/>
  <c r="BM153" i="1"/>
  <c r="BS63" i="1"/>
  <c r="BS62" i="1"/>
  <c r="BS76" i="1"/>
  <c r="BS75" i="1"/>
  <c r="BP128" i="1"/>
  <c r="BP127" i="1"/>
  <c r="BN50" i="1"/>
  <c r="BN49" i="1"/>
  <c r="AK23" i="1"/>
  <c r="AK26" i="1"/>
  <c r="AK25" i="1" s="1"/>
  <c r="AK17" i="1" s="1"/>
  <c r="AP102" i="1"/>
  <c r="AP103" i="1" s="1"/>
  <c r="AP101" i="1"/>
  <c r="AO102" i="1"/>
  <c r="AO103" i="1" s="1"/>
  <c r="AO101" i="1"/>
  <c r="AL37" i="1"/>
  <c r="AL38" i="1" s="1"/>
  <c r="AL36" i="1"/>
  <c r="AL89" i="1"/>
  <c r="AL90" i="1" s="1"/>
  <c r="AL88" i="1"/>
  <c r="AI24" i="1"/>
  <c r="AI23" i="1"/>
  <c r="AI26" i="1"/>
  <c r="AM102" i="1"/>
  <c r="AM103" i="1" s="1"/>
  <c r="AM101" i="1"/>
  <c r="AK115" i="1"/>
  <c r="AK116" i="1" s="1"/>
  <c r="AK114" i="1"/>
  <c r="AO141" i="1"/>
  <c r="AO142" i="1" s="1"/>
  <c r="AO140" i="1"/>
  <c r="AQ154" i="1"/>
  <c r="AQ155" i="1" s="1"/>
  <c r="AQ153" i="1"/>
  <c r="AN50" i="1"/>
  <c r="AN51" i="1" s="1"/>
  <c r="AN49" i="1"/>
  <c r="AP37" i="1"/>
  <c r="AP38" i="1" s="1"/>
  <c r="AP36" i="1"/>
  <c r="AK141" i="1"/>
  <c r="AK142" i="1" s="1"/>
  <c r="AK140" i="1"/>
  <c r="AK89" i="1"/>
  <c r="AK90" i="1" s="1"/>
  <c r="AK88" i="1"/>
  <c r="AI50" i="1"/>
  <c r="AI51" i="1" s="1"/>
  <c r="AI49" i="1"/>
  <c r="AI102" i="1"/>
  <c r="AI103" i="1" s="1"/>
  <c r="AI101" i="1"/>
  <c r="AM141" i="1"/>
  <c r="AM142" i="1" s="1"/>
  <c r="AM140" i="1"/>
  <c r="AN89" i="1"/>
  <c r="AN90" i="1" s="1"/>
  <c r="AN88" i="1"/>
  <c r="AJ128" i="1"/>
  <c r="AJ129" i="1" s="1"/>
  <c r="AJ127" i="1"/>
  <c r="AQ102" i="1"/>
  <c r="AQ103" i="1" s="1"/>
  <c r="AQ101" i="1"/>
  <c r="AN76" i="1"/>
  <c r="AN77" i="1" s="1"/>
  <c r="AN75" i="1"/>
  <c r="AO50" i="1"/>
  <c r="AO51" i="1" s="1"/>
  <c r="AO49" i="1"/>
  <c r="AN37" i="1"/>
  <c r="AN38" i="1" s="1"/>
  <c r="AN36" i="1"/>
  <c r="AK50" i="1"/>
  <c r="AK51" i="1" s="1"/>
  <c r="AK49" i="1"/>
  <c r="AM76" i="1"/>
  <c r="AM77" i="1" s="1"/>
  <c r="AM75" i="1"/>
  <c r="AP50" i="1"/>
  <c r="AP51" i="1" s="1"/>
  <c r="AP49" i="1"/>
  <c r="AQ50" i="1"/>
  <c r="AQ51" i="1" s="1"/>
  <c r="AQ49" i="1"/>
  <c r="AK154" i="1"/>
  <c r="AK155" i="1" s="1"/>
  <c r="AK153" i="1"/>
  <c r="AO24" i="1"/>
  <c r="AO26" i="1"/>
  <c r="AO23" i="1"/>
  <c r="AI89" i="1"/>
  <c r="AI90" i="1" s="1"/>
  <c r="AI88" i="1"/>
  <c r="AQ76" i="1"/>
  <c r="AQ77" i="1" s="1"/>
  <c r="AQ75" i="1"/>
  <c r="AM50" i="1"/>
  <c r="AM51" i="1" s="1"/>
  <c r="AM49" i="1"/>
  <c r="AQ37" i="1"/>
  <c r="AQ38" i="1" s="1"/>
  <c r="AQ36" i="1"/>
  <c r="AP24" i="1"/>
  <c r="AP23" i="1"/>
  <c r="AP26" i="1"/>
  <c r="AK63" i="1"/>
  <c r="AK64" i="1" s="1"/>
  <c r="AK62" i="1"/>
  <c r="AQ141" i="1"/>
  <c r="AQ142" i="1" s="1"/>
  <c r="AQ140" i="1"/>
  <c r="AL102" i="1"/>
  <c r="AL103" i="1" s="1"/>
  <c r="AL101" i="1"/>
  <c r="AI128" i="1"/>
  <c r="AI129" i="1" s="1"/>
  <c r="AI127" i="1"/>
  <c r="AN154" i="1"/>
  <c r="AN155" i="1" s="1"/>
  <c r="AN153" i="1"/>
  <c r="AJ89" i="1"/>
  <c r="AJ90" i="1" s="1"/>
  <c r="AJ88" i="1"/>
  <c r="AO76" i="1"/>
  <c r="AO77" i="1" s="1"/>
  <c r="AO75" i="1"/>
  <c r="AJ37" i="1"/>
  <c r="AJ38" i="1" s="1"/>
  <c r="AJ36" i="1"/>
  <c r="AI115" i="1"/>
  <c r="AI116" i="1" s="1"/>
  <c r="AI114" i="1"/>
  <c r="AN24" i="1"/>
  <c r="AN23" i="1"/>
  <c r="AN26" i="1"/>
  <c r="AO63" i="1"/>
  <c r="AO64" i="1" s="1"/>
  <c r="AO62" i="1"/>
  <c r="AQ115" i="1"/>
  <c r="AQ116" i="1" s="1"/>
  <c r="AQ114" i="1"/>
  <c r="AM63" i="1"/>
  <c r="AM64" i="1" s="1"/>
  <c r="AM62" i="1"/>
  <c r="AO115" i="1"/>
  <c r="AO116" i="1" s="1"/>
  <c r="AO114" i="1"/>
  <c r="AN115" i="1"/>
  <c r="AN116" i="1" s="1"/>
  <c r="AN114" i="1"/>
  <c r="AK102" i="1"/>
  <c r="AK103" i="1" s="1"/>
  <c r="AK101" i="1"/>
  <c r="AK76" i="1"/>
  <c r="AK77" i="1" s="1"/>
  <c r="AK75" i="1"/>
  <c r="AL141" i="1"/>
  <c r="AL142" i="1" s="1"/>
  <c r="AL140" i="1"/>
  <c r="AQ89" i="1"/>
  <c r="AQ90" i="1" s="1"/>
  <c r="AQ88" i="1"/>
  <c r="AO128" i="1"/>
  <c r="AO129" i="1" s="1"/>
  <c r="AO127" i="1"/>
  <c r="AP128" i="1"/>
  <c r="AP129" i="1" s="1"/>
  <c r="AP127" i="1"/>
  <c r="AJ24" i="1"/>
  <c r="AJ26" i="1"/>
  <c r="AJ23" i="1"/>
  <c r="AL76" i="1"/>
  <c r="AL77" i="1" s="1"/>
  <c r="AL75" i="1"/>
  <c r="AI37" i="1"/>
  <c r="AI38" i="1" s="1"/>
  <c r="AI36" i="1"/>
  <c r="AJ50" i="1"/>
  <c r="AJ51" i="1" s="1"/>
  <c r="AJ49" i="1"/>
  <c r="AM154" i="1"/>
  <c r="AM155" i="1" s="1"/>
  <c r="AM153" i="1"/>
  <c r="AP141" i="1"/>
  <c r="AP142" i="1" s="1"/>
  <c r="AP140" i="1"/>
  <c r="AP154" i="1"/>
  <c r="AP155" i="1" s="1"/>
  <c r="AP153" i="1"/>
  <c r="AL154" i="1"/>
  <c r="AL155" i="1" s="1"/>
  <c r="AL153" i="1"/>
  <c r="AO37" i="1"/>
  <c r="AO38" i="1" s="1"/>
  <c r="AO36" i="1"/>
  <c r="AK37" i="1"/>
  <c r="AK38" i="1" s="1"/>
  <c r="AK36" i="1"/>
  <c r="AN141" i="1"/>
  <c r="AN142" i="1" s="1"/>
  <c r="AN140" i="1"/>
  <c r="AM128" i="1"/>
  <c r="AM129" i="1" s="1"/>
  <c r="AM127" i="1"/>
  <c r="AM115" i="1"/>
  <c r="AM116" i="1" s="1"/>
  <c r="AM114" i="1"/>
  <c r="AJ115" i="1"/>
  <c r="AJ116" i="1" s="1"/>
  <c r="AJ114" i="1"/>
  <c r="AJ102" i="1"/>
  <c r="AJ103" i="1" s="1"/>
  <c r="AJ101" i="1"/>
  <c r="AQ128" i="1"/>
  <c r="AQ129" i="1" s="1"/>
  <c r="AQ127" i="1"/>
  <c r="AK128" i="1"/>
  <c r="AK129" i="1" s="1"/>
  <c r="AK127" i="1"/>
  <c r="AQ63" i="1"/>
  <c r="AQ64" i="1" s="1"/>
  <c r="AQ62" i="1"/>
  <c r="AN63" i="1"/>
  <c r="AN64" i="1" s="1"/>
  <c r="AN62" i="1"/>
  <c r="AL24" i="1"/>
  <c r="AL23" i="1"/>
  <c r="AL26" i="1"/>
  <c r="AM24" i="1"/>
  <c r="AM23" i="1"/>
  <c r="AM26" i="1"/>
  <c r="AQ24" i="1"/>
  <c r="AQ26" i="1"/>
  <c r="AQ23" i="1"/>
  <c r="AJ141" i="1"/>
  <c r="AJ142" i="1" s="1"/>
  <c r="AJ140" i="1"/>
  <c r="AI76" i="1"/>
  <c r="AI77" i="1" s="1"/>
  <c r="AI75" i="1"/>
  <c r="AN128" i="1"/>
  <c r="AN129" i="1" s="1"/>
  <c r="AN127" i="1"/>
  <c r="AI154" i="1"/>
  <c r="AI155" i="1" s="1"/>
  <c r="AI153" i="1"/>
  <c r="AN102" i="1"/>
  <c r="AN103" i="1" s="1"/>
  <c r="AN101" i="1"/>
  <c r="AP89" i="1"/>
  <c r="AP90" i="1" s="1"/>
  <c r="AP88" i="1"/>
  <c r="AL128" i="1"/>
  <c r="AL129" i="1" s="1"/>
  <c r="AL127" i="1"/>
  <c r="AP115" i="1"/>
  <c r="AP116" i="1" s="1"/>
  <c r="AP114" i="1"/>
  <c r="AM89" i="1"/>
  <c r="AM90" i="1" s="1"/>
  <c r="AM88" i="1"/>
  <c r="AP76" i="1"/>
  <c r="AP77" i="1" s="1"/>
  <c r="AP75" i="1"/>
  <c r="AJ76" i="1"/>
  <c r="AJ77" i="1" s="1"/>
  <c r="AJ75" i="1"/>
  <c r="AO154" i="1"/>
  <c r="AO155" i="1" s="1"/>
  <c r="AO153" i="1"/>
  <c r="AO89" i="1"/>
  <c r="AO90" i="1" s="1"/>
  <c r="AO88" i="1"/>
  <c r="AI63" i="1"/>
  <c r="AI64" i="1" s="1"/>
  <c r="AI62" i="1"/>
  <c r="AJ154" i="1"/>
  <c r="AJ155" i="1" s="1"/>
  <c r="AJ153" i="1"/>
  <c r="AL50" i="1"/>
  <c r="AL51" i="1" s="1"/>
  <c r="AL49" i="1"/>
  <c r="AJ63" i="1"/>
  <c r="AJ64" i="1" s="1"/>
  <c r="AJ62" i="1"/>
  <c r="AL115" i="1"/>
  <c r="AL116" i="1" s="1"/>
  <c r="AL114" i="1"/>
  <c r="AM37" i="1"/>
  <c r="AM38" i="1" s="1"/>
  <c r="AM36" i="1"/>
  <c r="AI141" i="1"/>
  <c r="AI142" i="1" s="1"/>
  <c r="AI140" i="1"/>
  <c r="AL63" i="1"/>
  <c r="AL64" i="1" s="1"/>
  <c r="AL62" i="1"/>
  <c r="B86" i="1"/>
  <c r="B59" i="1"/>
  <c r="E63" i="1"/>
  <c r="H59" i="1"/>
  <c r="B47" i="1"/>
  <c r="H47" i="1"/>
  <c r="E60" i="1"/>
  <c r="B60" i="1" s="1"/>
  <c r="B42" i="1"/>
  <c r="E85" i="1"/>
  <c r="CI30" i="1" l="1"/>
  <c r="BF86" i="1"/>
  <c r="BF83" i="1"/>
  <c r="CG34" i="1"/>
  <c r="CH151" i="1"/>
  <c r="CH149" i="1"/>
  <c r="CH146" i="1"/>
  <c r="CH148" i="1"/>
  <c r="CH147" i="1"/>
  <c r="BF84" i="1"/>
  <c r="BF82" i="1"/>
  <c r="BO31" i="1"/>
  <c r="AZ71" i="1"/>
  <c r="BR18" i="1"/>
  <c r="BR17" i="1"/>
  <c r="BF85" i="1"/>
  <c r="BT55" i="1"/>
  <c r="AZ72" i="1"/>
  <c r="CE57" i="1"/>
  <c r="BO34" i="1"/>
  <c r="BO30" i="1"/>
  <c r="CJ30" i="1"/>
  <c r="BN30" i="1"/>
  <c r="CG33" i="1"/>
  <c r="CE60" i="1"/>
  <c r="CG31" i="1"/>
  <c r="CG32" i="1"/>
  <c r="CG30" i="1"/>
  <c r="BP96" i="1"/>
  <c r="CJ31" i="1"/>
  <c r="CB29" i="1"/>
  <c r="BT32" i="1"/>
  <c r="BT33" i="1"/>
  <c r="CE133" i="1"/>
  <c r="CE138" i="1"/>
  <c r="CE135" i="1"/>
  <c r="CE134" i="1"/>
  <c r="AZ44" i="1"/>
  <c r="AZ42" i="1"/>
  <c r="CE59" i="1"/>
  <c r="CE58" i="1"/>
  <c r="CE56" i="1"/>
  <c r="CH150" i="1"/>
  <c r="AZ69" i="1"/>
  <c r="AZ70" i="1"/>
  <c r="AZ73" i="1"/>
  <c r="CI33" i="1"/>
  <c r="CC70" i="1"/>
  <c r="CC73" i="1"/>
  <c r="CC72" i="1"/>
  <c r="CC69" i="1"/>
  <c r="CC71" i="1"/>
  <c r="CC68" i="1"/>
  <c r="CB82" i="1"/>
  <c r="CJ29" i="1"/>
  <c r="CB34" i="1"/>
  <c r="CJ34" i="1"/>
  <c r="CB32" i="1"/>
  <c r="CJ32" i="1"/>
  <c r="CB30" i="1"/>
  <c r="CF33" i="1"/>
  <c r="CB85" i="1"/>
  <c r="CB33" i="1"/>
  <c r="CF29" i="1"/>
  <c r="CB81" i="1"/>
  <c r="CH43" i="1"/>
  <c r="CH45" i="1"/>
  <c r="CG71" i="1"/>
  <c r="CG69" i="1"/>
  <c r="CG59" i="1"/>
  <c r="CG56" i="1"/>
  <c r="CG58" i="1"/>
  <c r="CG60" i="1"/>
  <c r="CG55" i="1"/>
  <c r="CG57" i="1"/>
  <c r="CD29" i="1"/>
  <c r="CI31" i="1"/>
  <c r="CI29" i="1"/>
  <c r="CE45" i="1"/>
  <c r="CI34" i="1"/>
  <c r="BT21" i="1"/>
  <c r="CJ45" i="1"/>
  <c r="CE84" i="1"/>
  <c r="CI123" i="1"/>
  <c r="CG138" i="1"/>
  <c r="CG133" i="1"/>
  <c r="CG135" i="1"/>
  <c r="CG137" i="1"/>
  <c r="CG134" i="1"/>
  <c r="CG136" i="1"/>
  <c r="CD30" i="1"/>
  <c r="CE81" i="1"/>
  <c r="CJ134" i="1"/>
  <c r="CJ94" i="1"/>
  <c r="CD123" i="1"/>
  <c r="AP57" i="1"/>
  <c r="CC98" i="1"/>
  <c r="CD33" i="1"/>
  <c r="AP55" i="1"/>
  <c r="CC29" i="1"/>
  <c r="CD31" i="1"/>
  <c r="CD34" i="1"/>
  <c r="CD148" i="1"/>
  <c r="CB84" i="1"/>
  <c r="BQ70" i="1"/>
  <c r="BQ68" i="1"/>
  <c r="BT16" i="1"/>
  <c r="BO32" i="1"/>
  <c r="BR20" i="1"/>
  <c r="BT34" i="1"/>
  <c r="CJ47" i="1"/>
  <c r="CE83" i="1"/>
  <c r="BO33" i="1"/>
  <c r="BR16" i="1"/>
  <c r="BT30" i="1"/>
  <c r="AZ45" i="1"/>
  <c r="CF137" i="1"/>
  <c r="CE136" i="1"/>
  <c r="CH42" i="1"/>
  <c r="CJ46" i="1"/>
  <c r="CC99" i="1"/>
  <c r="BR21" i="1"/>
  <c r="CJ44" i="1"/>
  <c r="CC97" i="1"/>
  <c r="AZ47" i="1"/>
  <c r="CE137" i="1"/>
  <c r="CJ42" i="1"/>
  <c r="CE86" i="1"/>
  <c r="CC95" i="1"/>
  <c r="CE44" i="1"/>
  <c r="CF47" i="1"/>
  <c r="BT57" i="1"/>
  <c r="AZ46" i="1"/>
  <c r="CB146" i="1"/>
  <c r="CE82" i="1"/>
  <c r="CC96" i="1"/>
  <c r="CH107" i="1"/>
  <c r="CH109" i="1"/>
  <c r="CH111" i="1"/>
  <c r="CH108" i="1"/>
  <c r="CH112" i="1"/>
  <c r="CH110" i="1"/>
  <c r="BO20" i="1"/>
  <c r="BR72" i="1"/>
  <c r="CH46" i="1"/>
  <c r="CF31" i="1"/>
  <c r="CE47" i="1"/>
  <c r="BO17" i="1"/>
  <c r="CH44" i="1"/>
  <c r="CG68" i="1"/>
  <c r="CF30" i="1"/>
  <c r="CE46" i="1"/>
  <c r="CF34" i="1"/>
  <c r="CE42" i="1"/>
  <c r="BM55" i="1"/>
  <c r="CH47" i="1"/>
  <c r="CB83" i="1"/>
  <c r="CF43" i="1"/>
  <c r="AP60" i="1"/>
  <c r="BQ71" i="1"/>
  <c r="BT60" i="1"/>
  <c r="CF149" i="1"/>
  <c r="CJ150" i="1"/>
  <c r="CF120" i="1"/>
  <c r="CF95" i="1"/>
  <c r="CC134" i="1"/>
  <c r="CC46" i="1"/>
  <c r="CF109" i="1"/>
  <c r="CJ56" i="1"/>
  <c r="CG44" i="1"/>
  <c r="CE30" i="1"/>
  <c r="CB109" i="1"/>
  <c r="AP58" i="1"/>
  <c r="BT17" i="1"/>
  <c r="BQ72" i="1"/>
  <c r="BT58" i="1"/>
  <c r="CG72" i="1"/>
  <c r="AP56" i="1"/>
  <c r="BT19" i="1"/>
  <c r="BQ69" i="1"/>
  <c r="BT56" i="1"/>
  <c r="CG70" i="1"/>
  <c r="CJ85" i="1"/>
  <c r="CD58" i="1"/>
  <c r="CD136" i="1"/>
  <c r="CE121" i="1"/>
  <c r="CD81" i="1"/>
  <c r="CF69" i="1"/>
  <c r="CF42" i="1"/>
  <c r="BT18" i="1"/>
  <c r="BQ73" i="1"/>
  <c r="BP94" i="1"/>
  <c r="CG73" i="1"/>
  <c r="CC123" i="1"/>
  <c r="CF46" i="1"/>
  <c r="CF45" i="1"/>
  <c r="CI148" i="1"/>
  <c r="CG120" i="1"/>
  <c r="CH85" i="1"/>
  <c r="AZ98" i="1"/>
  <c r="AZ99" i="1"/>
  <c r="AZ94" i="1"/>
  <c r="AZ95" i="1"/>
  <c r="AZ97" i="1"/>
  <c r="AZ96" i="1"/>
  <c r="BQ86" i="1"/>
  <c r="BA55" i="1"/>
  <c r="BA57" i="1"/>
  <c r="BA59" i="1"/>
  <c r="BA56" i="1"/>
  <c r="BA58" i="1"/>
  <c r="BA60" i="1"/>
  <c r="AY134" i="1"/>
  <c r="AY136" i="1"/>
  <c r="AY138" i="1"/>
  <c r="AY133" i="1"/>
  <c r="AY135" i="1"/>
  <c r="AY137" i="1"/>
  <c r="BC57" i="1"/>
  <c r="BC58" i="1"/>
  <c r="BC59" i="1"/>
  <c r="BC60" i="1"/>
  <c r="BC55" i="1"/>
  <c r="BC56" i="1"/>
  <c r="BO125" i="1"/>
  <c r="BE99" i="1"/>
  <c r="BE94" i="1"/>
  <c r="BE95" i="1"/>
  <c r="BE96" i="1"/>
  <c r="BE97" i="1"/>
  <c r="BE98" i="1"/>
  <c r="BC110" i="1"/>
  <c r="BC108" i="1"/>
  <c r="BC109" i="1"/>
  <c r="BC111" i="1"/>
  <c r="BC112" i="1"/>
  <c r="BC107" i="1"/>
  <c r="CH121" i="1"/>
  <c r="CH123" i="1"/>
  <c r="CH125" i="1"/>
  <c r="CH120" i="1"/>
  <c r="CH122" i="1"/>
  <c r="CH124" i="1"/>
  <c r="AY55" i="1"/>
  <c r="AY57" i="1"/>
  <c r="AY59" i="1"/>
  <c r="AY56" i="1"/>
  <c r="AY58" i="1"/>
  <c r="AY60" i="1"/>
  <c r="BF121" i="1"/>
  <c r="BF123" i="1"/>
  <c r="BF125" i="1"/>
  <c r="BF120" i="1"/>
  <c r="BF122" i="1"/>
  <c r="BF124" i="1"/>
  <c r="BE151" i="1"/>
  <c r="BE149" i="1"/>
  <c r="BE147" i="1"/>
  <c r="BE148" i="1"/>
  <c r="BE150" i="1"/>
  <c r="BE146" i="1"/>
  <c r="BO120" i="1"/>
  <c r="BN31" i="1"/>
  <c r="BO95" i="1"/>
  <c r="BF134" i="1"/>
  <c r="BF136" i="1"/>
  <c r="BF138" i="1"/>
  <c r="BF133" i="1"/>
  <c r="BF135" i="1"/>
  <c r="BF137" i="1"/>
  <c r="BE68" i="1"/>
  <c r="BE73" i="1"/>
  <c r="BE69" i="1"/>
  <c r="BE70" i="1"/>
  <c r="BE71" i="1"/>
  <c r="BE72" i="1"/>
  <c r="BB81" i="1"/>
  <c r="BB83" i="1"/>
  <c r="BB85" i="1"/>
  <c r="BB86" i="1"/>
  <c r="BB84" i="1"/>
  <c r="BB82" i="1"/>
  <c r="AX109" i="1"/>
  <c r="AX110" i="1"/>
  <c r="AX111" i="1"/>
  <c r="AX112" i="1"/>
  <c r="AX107" i="1"/>
  <c r="AX108" i="1"/>
  <c r="BC68" i="1"/>
  <c r="BC70" i="1"/>
  <c r="BC72" i="1"/>
  <c r="BC73" i="1"/>
  <c r="BC69" i="1"/>
  <c r="BC71" i="1"/>
  <c r="CE69" i="1"/>
  <c r="CE71" i="1"/>
  <c r="CE73" i="1"/>
  <c r="CE68" i="1"/>
  <c r="CE70" i="1"/>
  <c r="CE72" i="1"/>
  <c r="BD120" i="1"/>
  <c r="BD122" i="1"/>
  <c r="BD124" i="1"/>
  <c r="BD121" i="1"/>
  <c r="BD123" i="1"/>
  <c r="BD125" i="1"/>
  <c r="BO121" i="1"/>
  <c r="BN33" i="1"/>
  <c r="BN29" i="1"/>
  <c r="BF69" i="1"/>
  <c r="BF71" i="1"/>
  <c r="BF73" i="1"/>
  <c r="BF68" i="1"/>
  <c r="BF70" i="1"/>
  <c r="BF72" i="1"/>
  <c r="AZ124" i="1"/>
  <c r="AZ120" i="1"/>
  <c r="AZ122" i="1"/>
  <c r="AZ121" i="1"/>
  <c r="AZ123" i="1"/>
  <c r="AZ125" i="1"/>
  <c r="BE107" i="1"/>
  <c r="BE109" i="1"/>
  <c r="BE111" i="1"/>
  <c r="BE110" i="1"/>
  <c r="BE112" i="1"/>
  <c r="BE108" i="1"/>
  <c r="BD82" i="1"/>
  <c r="BD84" i="1"/>
  <c r="BD86" i="1"/>
  <c r="BD81" i="1"/>
  <c r="BD83" i="1"/>
  <c r="BD85" i="1"/>
  <c r="BE122" i="1"/>
  <c r="BE124" i="1"/>
  <c r="BE120" i="1"/>
  <c r="BE121" i="1"/>
  <c r="BE123" i="1"/>
  <c r="BE125" i="1"/>
  <c r="BN32" i="1"/>
  <c r="BE82" i="1"/>
  <c r="BE84" i="1"/>
  <c r="BE86" i="1"/>
  <c r="BE83" i="1"/>
  <c r="BE81" i="1"/>
  <c r="BE85" i="1"/>
  <c r="BA146" i="1"/>
  <c r="BA148" i="1"/>
  <c r="BA150" i="1"/>
  <c r="BA147" i="1"/>
  <c r="BA149" i="1"/>
  <c r="BA151" i="1"/>
  <c r="BM133" i="1"/>
  <c r="BC95" i="1"/>
  <c r="BC97" i="1"/>
  <c r="BC99" i="1"/>
  <c r="BC94" i="1"/>
  <c r="BC96" i="1"/>
  <c r="BC98" i="1"/>
  <c r="AY68" i="1"/>
  <c r="AY70" i="1"/>
  <c r="AY72" i="1"/>
  <c r="AY69" i="1"/>
  <c r="AY71" i="1"/>
  <c r="AY73" i="1"/>
  <c r="AX57" i="1"/>
  <c r="AX58" i="1"/>
  <c r="AX55" i="1"/>
  <c r="AX56" i="1"/>
  <c r="AX59" i="1"/>
  <c r="AX60" i="1"/>
  <c r="AX147" i="1"/>
  <c r="AX149" i="1"/>
  <c r="AX151" i="1"/>
  <c r="AX146" i="1"/>
  <c r="AX150" i="1"/>
  <c r="AX148" i="1"/>
  <c r="CI108" i="1"/>
  <c r="CI110" i="1"/>
  <c r="CI112" i="1"/>
  <c r="CI107" i="1"/>
  <c r="CI109" i="1"/>
  <c r="CI111" i="1"/>
  <c r="CB55" i="1"/>
  <c r="CB57" i="1"/>
  <c r="CB59" i="1"/>
  <c r="CB58" i="1"/>
  <c r="CB60" i="1"/>
  <c r="CB56" i="1"/>
  <c r="BQ98" i="1"/>
  <c r="BM34" i="1"/>
  <c r="BM57" i="1"/>
  <c r="BS95" i="1"/>
  <c r="BO99" i="1"/>
  <c r="BO149" i="1"/>
  <c r="BR125" i="1"/>
  <c r="BO123" i="1"/>
  <c r="BP97" i="1"/>
  <c r="BO19" i="1"/>
  <c r="BO124" i="1"/>
  <c r="BP99" i="1"/>
  <c r="BO16" i="1"/>
  <c r="BM95" i="1"/>
  <c r="BP95" i="1"/>
  <c r="BO18" i="1"/>
  <c r="BD77" i="1"/>
  <c r="BE38" i="1"/>
  <c r="BE30" i="1" s="1"/>
  <c r="BF116" i="1"/>
  <c r="AX38" i="1"/>
  <c r="AX30" i="1" s="1"/>
  <c r="BE64" i="1"/>
  <c r="AX77" i="1"/>
  <c r="AY38" i="1"/>
  <c r="AY34" i="1" s="1"/>
  <c r="BD64" i="1"/>
  <c r="BM32" i="1"/>
  <c r="BM30" i="1"/>
  <c r="BM31" i="1"/>
  <c r="BM33" i="1"/>
  <c r="BT95" i="1"/>
  <c r="BB155" i="1"/>
  <c r="BA51" i="1"/>
  <c r="BA44" i="1" s="1"/>
  <c r="BA142" i="1"/>
  <c r="BA38" i="1"/>
  <c r="BA30" i="1" s="1"/>
  <c r="BO148" i="1"/>
  <c r="BO96" i="1"/>
  <c r="AX129" i="1"/>
  <c r="BA90" i="1"/>
  <c r="BB51" i="1"/>
  <c r="BB44" i="1" s="1"/>
  <c r="BC51" i="1"/>
  <c r="BC43" i="1" s="1"/>
  <c r="BD38" i="1"/>
  <c r="BD34" i="1" s="1"/>
  <c r="BO151" i="1"/>
  <c r="BF155" i="1"/>
  <c r="BO147" i="1"/>
  <c r="BO146" i="1"/>
  <c r="BO94" i="1"/>
  <c r="BN107" i="1"/>
  <c r="BB77" i="1"/>
  <c r="BB129" i="1"/>
  <c r="BC129" i="1"/>
  <c r="BA129" i="1"/>
  <c r="BD155" i="1"/>
  <c r="BF64" i="1"/>
  <c r="BF51" i="1"/>
  <c r="BF44" i="1" s="1"/>
  <c r="AZ142" i="1"/>
  <c r="AX142" i="1"/>
  <c r="BC142" i="1"/>
  <c r="BA116" i="1"/>
  <c r="BD51" i="1"/>
  <c r="BD42" i="1" s="1"/>
  <c r="AY103" i="1"/>
  <c r="AY155" i="1"/>
  <c r="BC155" i="1"/>
  <c r="AZ64" i="1"/>
  <c r="BD103" i="1"/>
  <c r="AY90" i="1"/>
  <c r="AX103" i="1"/>
  <c r="BE142" i="1"/>
  <c r="BB34" i="1"/>
  <c r="BB33" i="1"/>
  <c r="BB29" i="1"/>
  <c r="BB30" i="1"/>
  <c r="BB31" i="1"/>
  <c r="BB32" i="1"/>
  <c r="BA103" i="1"/>
  <c r="AY116" i="1"/>
  <c r="BD116" i="1"/>
  <c r="BC30" i="1"/>
  <c r="BC32" i="1"/>
  <c r="BC34" i="1"/>
  <c r="BC33" i="1"/>
  <c r="BC31" i="1"/>
  <c r="BC29" i="1"/>
  <c r="BF33" i="1"/>
  <c r="BF31" i="1"/>
  <c r="BF30" i="1"/>
  <c r="BF32" i="1"/>
  <c r="BF34" i="1"/>
  <c r="BF29" i="1"/>
  <c r="AY51" i="1"/>
  <c r="BD142" i="1"/>
  <c r="AZ38" i="1"/>
  <c r="BC90" i="1"/>
  <c r="BA77" i="1"/>
  <c r="AZ116" i="1"/>
  <c r="BF103" i="1"/>
  <c r="AY129" i="1"/>
  <c r="AZ90" i="1"/>
  <c r="BE42" i="1"/>
  <c r="BE44" i="1"/>
  <c r="BE46" i="1"/>
  <c r="BE47" i="1"/>
  <c r="BE45" i="1"/>
  <c r="BE43" i="1"/>
  <c r="AZ155" i="1"/>
  <c r="BB64" i="1"/>
  <c r="AX90" i="1"/>
  <c r="BB116" i="1"/>
  <c r="BB103" i="1"/>
  <c r="BB142" i="1"/>
  <c r="AX51" i="1"/>
  <c r="BR31" i="1"/>
  <c r="BM56" i="1"/>
  <c r="BO97" i="1"/>
  <c r="BQ57" i="1"/>
  <c r="AK20" i="1"/>
  <c r="BS133" i="1"/>
  <c r="AK21" i="1"/>
  <c r="AY25" i="1"/>
  <c r="BE25" i="1"/>
  <c r="BN149" i="1"/>
  <c r="BR32" i="1"/>
  <c r="BR33" i="1"/>
  <c r="BU29" i="1"/>
  <c r="BB25" i="1"/>
  <c r="BN17" i="1"/>
  <c r="BM59" i="1"/>
  <c r="BS134" i="1"/>
  <c r="BF25" i="1"/>
  <c r="BD25" i="1"/>
  <c r="BR56" i="1"/>
  <c r="BM60" i="1"/>
  <c r="BR30" i="1"/>
  <c r="BS137" i="1"/>
  <c r="BC25" i="1"/>
  <c r="BR34" i="1"/>
  <c r="BS136" i="1"/>
  <c r="AZ25" i="1"/>
  <c r="AX25" i="1"/>
  <c r="BQ31" i="1"/>
  <c r="BU98" i="1"/>
  <c r="BQ138" i="1"/>
  <c r="BA25" i="1"/>
  <c r="BS138" i="1"/>
  <c r="BM86" i="1"/>
  <c r="BM84" i="1"/>
  <c r="BM83" i="1"/>
  <c r="BM81" i="1"/>
  <c r="BM85" i="1"/>
  <c r="BM82" i="1"/>
  <c r="AK18" i="1"/>
  <c r="AK19" i="1"/>
  <c r="BU81" i="1"/>
  <c r="BS107" i="1"/>
  <c r="BT150" i="1"/>
  <c r="BP46" i="1"/>
  <c r="BU122" i="1"/>
  <c r="BQ147" i="1"/>
  <c r="BO86" i="1"/>
  <c r="BM70" i="1"/>
  <c r="BM72" i="1"/>
  <c r="BM69" i="1"/>
  <c r="BM71" i="1"/>
  <c r="BM68" i="1"/>
  <c r="BM73" i="1"/>
  <c r="BO133" i="1"/>
  <c r="BO135" i="1"/>
  <c r="BO134" i="1"/>
  <c r="BO137" i="1"/>
  <c r="BO136" i="1"/>
  <c r="BO138" i="1"/>
  <c r="BM42" i="1"/>
  <c r="BM46" i="1"/>
  <c r="BM44" i="1"/>
  <c r="BM43" i="1"/>
  <c r="BM45" i="1"/>
  <c r="BM47" i="1"/>
  <c r="BU151" i="1"/>
  <c r="BU146" i="1"/>
  <c r="BU150" i="1"/>
  <c r="BU147" i="1"/>
  <c r="BU148" i="1"/>
  <c r="BU149" i="1"/>
  <c r="BO109" i="1"/>
  <c r="BP108" i="1"/>
  <c r="BN56" i="1"/>
  <c r="BP83" i="1"/>
  <c r="BU33" i="1"/>
  <c r="BO56" i="1"/>
  <c r="BU72" i="1"/>
  <c r="BN147" i="1"/>
  <c r="BM20" i="1"/>
  <c r="BR110" i="1"/>
  <c r="BQ44" i="1"/>
  <c r="BU31" i="1"/>
  <c r="BN124" i="1"/>
  <c r="BN85" i="1"/>
  <c r="BU34" i="1"/>
  <c r="BT111" i="1"/>
  <c r="BN150" i="1"/>
  <c r="BU32" i="1"/>
  <c r="BN148" i="1"/>
  <c r="BS72" i="1"/>
  <c r="BU43" i="1"/>
  <c r="BN146" i="1"/>
  <c r="BQ111" i="1"/>
  <c r="BQ110" i="1"/>
  <c r="BQ109" i="1"/>
  <c r="BQ107" i="1"/>
  <c r="BQ112" i="1"/>
  <c r="BQ108" i="1"/>
  <c r="BQ122" i="1"/>
  <c r="BQ125" i="1"/>
  <c r="BQ120" i="1"/>
  <c r="BQ121" i="1"/>
  <c r="BQ123" i="1"/>
  <c r="BQ124" i="1"/>
  <c r="BP55" i="1"/>
  <c r="BP57" i="1"/>
  <c r="BP59" i="1"/>
  <c r="BP56" i="1"/>
  <c r="BP58" i="1"/>
  <c r="BP60" i="1"/>
  <c r="BT81" i="1"/>
  <c r="BT83" i="1"/>
  <c r="BT85" i="1"/>
  <c r="BT82" i="1"/>
  <c r="BT84" i="1"/>
  <c r="BT86" i="1"/>
  <c r="BP72" i="1"/>
  <c r="BP69" i="1"/>
  <c r="BP73" i="1"/>
  <c r="BP70" i="1"/>
  <c r="BP71" i="1"/>
  <c r="BP68" i="1"/>
  <c r="BN137" i="1"/>
  <c r="BN134" i="1"/>
  <c r="BN138" i="1"/>
  <c r="BN135" i="1"/>
  <c r="BN136" i="1"/>
  <c r="BN133" i="1"/>
  <c r="BR81" i="1"/>
  <c r="BR85" i="1"/>
  <c r="BR83" i="1"/>
  <c r="BR86" i="1"/>
  <c r="BR82" i="1"/>
  <c r="BR84" i="1"/>
  <c r="BS120" i="1"/>
  <c r="BS122" i="1"/>
  <c r="BS124" i="1"/>
  <c r="BS121" i="1"/>
  <c r="BS123" i="1"/>
  <c r="BS125" i="1"/>
  <c r="BT70" i="1"/>
  <c r="BT68" i="1"/>
  <c r="BT72" i="1"/>
  <c r="BT69" i="1"/>
  <c r="BT71" i="1"/>
  <c r="BT73" i="1"/>
  <c r="AK16" i="1"/>
  <c r="AK29" i="1"/>
  <c r="AK31" i="1"/>
  <c r="AK33" i="1"/>
  <c r="AK30" i="1"/>
  <c r="AK32" i="1"/>
  <c r="AK34" i="1"/>
  <c r="AP133" i="1"/>
  <c r="AP135" i="1"/>
  <c r="AP137" i="1"/>
  <c r="AP134" i="1"/>
  <c r="AP136" i="1"/>
  <c r="AP138" i="1"/>
  <c r="AI121" i="1"/>
  <c r="AI123" i="1"/>
  <c r="AI125" i="1"/>
  <c r="AI120" i="1"/>
  <c r="AI122" i="1"/>
  <c r="AI124" i="1"/>
  <c r="AI69" i="1"/>
  <c r="AI71" i="1"/>
  <c r="AI73" i="1"/>
  <c r="AI68" i="1"/>
  <c r="AI70" i="1"/>
  <c r="AI72" i="1"/>
  <c r="AK121" i="1"/>
  <c r="AK123" i="1"/>
  <c r="AK125" i="1"/>
  <c r="AK120" i="1"/>
  <c r="AK122" i="1"/>
  <c r="AK124" i="1"/>
  <c r="AM147" i="1"/>
  <c r="AM148" i="1"/>
  <c r="AM149" i="1"/>
  <c r="AM150" i="1"/>
  <c r="AM151" i="1"/>
  <c r="AM146" i="1"/>
  <c r="AP42" i="1"/>
  <c r="AP44" i="1"/>
  <c r="AP46" i="1"/>
  <c r="AP43" i="1"/>
  <c r="AP45" i="1"/>
  <c r="AP47" i="1"/>
  <c r="AO42" i="1"/>
  <c r="AO44" i="1"/>
  <c r="AO46" i="1"/>
  <c r="AO43" i="1"/>
  <c r="AO45" i="1"/>
  <c r="AO47" i="1"/>
  <c r="AK81" i="1"/>
  <c r="AK83" i="1"/>
  <c r="AK85" i="1"/>
  <c r="AK82" i="1"/>
  <c r="AK84" i="1"/>
  <c r="AK86" i="1"/>
  <c r="AO82" i="1"/>
  <c r="AO84" i="1"/>
  <c r="AO86" i="1"/>
  <c r="AO81" i="1"/>
  <c r="AO83" i="1"/>
  <c r="AO85" i="1"/>
  <c r="AM84" i="1"/>
  <c r="AM85" i="1"/>
  <c r="AM86" i="1"/>
  <c r="AM81" i="1"/>
  <c r="AM82" i="1"/>
  <c r="AM83" i="1"/>
  <c r="AN94" i="1"/>
  <c r="AN96" i="1"/>
  <c r="AN98" i="1"/>
  <c r="AN95" i="1"/>
  <c r="AN97" i="1"/>
  <c r="AN99" i="1"/>
  <c r="AM73" i="1"/>
  <c r="AM68" i="1"/>
  <c r="AM69" i="1"/>
  <c r="AM70" i="1"/>
  <c r="AM71" i="1"/>
  <c r="AM72" i="1"/>
  <c r="AK133" i="1"/>
  <c r="AK135" i="1"/>
  <c r="AK137" i="1"/>
  <c r="AK134" i="1"/>
  <c r="AK136" i="1"/>
  <c r="AK138" i="1"/>
  <c r="AO146" i="1"/>
  <c r="AO148" i="1"/>
  <c r="AO150" i="1"/>
  <c r="AO147" i="1"/>
  <c r="AO149" i="1"/>
  <c r="AO151" i="1"/>
  <c r="AP108" i="1"/>
  <c r="AP110" i="1"/>
  <c r="AP112" i="1"/>
  <c r="AP107" i="1"/>
  <c r="AP109" i="1"/>
  <c r="AP111" i="1"/>
  <c r="AK69" i="1"/>
  <c r="AK71" i="1"/>
  <c r="AK73" i="1"/>
  <c r="AK68" i="1"/>
  <c r="AK70" i="1"/>
  <c r="AK72" i="1"/>
  <c r="AM43" i="1"/>
  <c r="AM44" i="1"/>
  <c r="AM45" i="1"/>
  <c r="AM46" i="1"/>
  <c r="AM47" i="1"/>
  <c r="AM42" i="1"/>
  <c r="AJ55" i="1"/>
  <c r="AJ57" i="1"/>
  <c r="AJ59" i="1"/>
  <c r="AJ58" i="1"/>
  <c r="AJ60" i="1"/>
  <c r="AJ56" i="1"/>
  <c r="AN134" i="1"/>
  <c r="AN136" i="1"/>
  <c r="AN138" i="1"/>
  <c r="AN133" i="1"/>
  <c r="AN135" i="1"/>
  <c r="AN137" i="1"/>
  <c r="AK56" i="1"/>
  <c r="AK58" i="1"/>
  <c r="AK60" i="1"/>
  <c r="AK55" i="1"/>
  <c r="AK57" i="1"/>
  <c r="AK59" i="1"/>
  <c r="AK146" i="1"/>
  <c r="AK148" i="1"/>
  <c r="AK150" i="1"/>
  <c r="AK147" i="1"/>
  <c r="AK149" i="1"/>
  <c r="AK151" i="1"/>
  <c r="AK42" i="1"/>
  <c r="AK44" i="1"/>
  <c r="AK46" i="1"/>
  <c r="AK43" i="1"/>
  <c r="AK45" i="1"/>
  <c r="AK47" i="1"/>
  <c r="AQ94" i="1"/>
  <c r="AQ96" i="1"/>
  <c r="AQ98" i="1"/>
  <c r="AQ95" i="1"/>
  <c r="AQ97" i="1"/>
  <c r="AQ99" i="1"/>
  <c r="AI94" i="1"/>
  <c r="AI96" i="1"/>
  <c r="AI98" i="1"/>
  <c r="AI95" i="1"/>
  <c r="AI97" i="1"/>
  <c r="AI99" i="1"/>
  <c r="AP29" i="1"/>
  <c r="AP31" i="1"/>
  <c r="AP33" i="1"/>
  <c r="AP30" i="1"/>
  <c r="AP32" i="1"/>
  <c r="AP34" i="1"/>
  <c r="AK108" i="1"/>
  <c r="AK110" i="1"/>
  <c r="AK112" i="1"/>
  <c r="AK107" i="1"/>
  <c r="AK109" i="1"/>
  <c r="AK111" i="1"/>
  <c r="AI55" i="1"/>
  <c r="AI57" i="1"/>
  <c r="AI59" i="1"/>
  <c r="AI56" i="1"/>
  <c r="AI58" i="1"/>
  <c r="AI60" i="1"/>
  <c r="AO121" i="1"/>
  <c r="AO123" i="1"/>
  <c r="AO125" i="1"/>
  <c r="AO120" i="1"/>
  <c r="AO122" i="1"/>
  <c r="AO124" i="1"/>
  <c r="AK94" i="1"/>
  <c r="AK96" i="1"/>
  <c r="AK98" i="1"/>
  <c r="AK95" i="1"/>
  <c r="AK97" i="1"/>
  <c r="AK99" i="1"/>
  <c r="AQ69" i="1"/>
  <c r="AQ71" i="1"/>
  <c r="AQ73" i="1"/>
  <c r="AQ68" i="1"/>
  <c r="AQ70" i="1"/>
  <c r="AQ72" i="1"/>
  <c r="AM32" i="1"/>
  <c r="AM33" i="1"/>
  <c r="AM34" i="1"/>
  <c r="AM29" i="1"/>
  <c r="AM30" i="1"/>
  <c r="AM31" i="1"/>
  <c r="AJ146" i="1"/>
  <c r="AJ148" i="1"/>
  <c r="AJ150" i="1"/>
  <c r="AJ147" i="1"/>
  <c r="AJ149" i="1"/>
  <c r="AJ151" i="1"/>
  <c r="AJ69" i="1"/>
  <c r="AJ71" i="1"/>
  <c r="AJ73" i="1"/>
  <c r="AJ68" i="1"/>
  <c r="AJ70" i="1"/>
  <c r="AJ72" i="1"/>
  <c r="AL121" i="1"/>
  <c r="AL123" i="1"/>
  <c r="AL125" i="1"/>
  <c r="AL120" i="1"/>
  <c r="AL122" i="1"/>
  <c r="AL124" i="1"/>
  <c r="AN121" i="1"/>
  <c r="AN123" i="1"/>
  <c r="AN125" i="1"/>
  <c r="AN120" i="1"/>
  <c r="AN122" i="1"/>
  <c r="AN124" i="1"/>
  <c r="AQ108" i="1"/>
  <c r="AQ110" i="1"/>
  <c r="AQ112" i="1"/>
  <c r="AQ107" i="1"/>
  <c r="AQ109" i="1"/>
  <c r="AQ111" i="1"/>
  <c r="AL29" i="1"/>
  <c r="AL31" i="1"/>
  <c r="AL33" i="1"/>
  <c r="AL30" i="1"/>
  <c r="AL32" i="1"/>
  <c r="AL34" i="1"/>
  <c r="AQ56" i="1"/>
  <c r="AQ58" i="1"/>
  <c r="AQ60" i="1"/>
  <c r="AQ55" i="1"/>
  <c r="AQ57" i="1"/>
  <c r="AQ59" i="1"/>
  <c r="AJ107" i="1"/>
  <c r="AJ109" i="1"/>
  <c r="AJ111" i="1"/>
  <c r="AJ110" i="1"/>
  <c r="AJ112" i="1"/>
  <c r="AJ108" i="1"/>
  <c r="AL69" i="1"/>
  <c r="AL71" i="1"/>
  <c r="AL73" i="1"/>
  <c r="AL68" i="1"/>
  <c r="AL70" i="1"/>
  <c r="AL72" i="1"/>
  <c r="AJ30" i="1"/>
  <c r="AJ32" i="1"/>
  <c r="AJ34" i="1"/>
  <c r="AJ31" i="1"/>
  <c r="AJ33" i="1"/>
  <c r="AJ29" i="1"/>
  <c r="AQ42" i="1"/>
  <c r="AQ44" i="1"/>
  <c r="AQ46" i="1"/>
  <c r="AQ47" i="1"/>
  <c r="AQ43" i="1"/>
  <c r="AQ45" i="1"/>
  <c r="AN30" i="1"/>
  <c r="AN32" i="1"/>
  <c r="AN34" i="1"/>
  <c r="AN29" i="1"/>
  <c r="AN31" i="1"/>
  <c r="AN33" i="1"/>
  <c r="AJ121" i="1"/>
  <c r="AJ123" i="1"/>
  <c r="AJ125" i="1"/>
  <c r="AJ120" i="1"/>
  <c r="AJ122" i="1"/>
  <c r="AJ124" i="1"/>
  <c r="AI42" i="1"/>
  <c r="AI44" i="1"/>
  <c r="AI46" i="1"/>
  <c r="AI43" i="1"/>
  <c r="AI45" i="1"/>
  <c r="AI47" i="1"/>
  <c r="AN42" i="1"/>
  <c r="AN44" i="1"/>
  <c r="AN46" i="1"/>
  <c r="AN43" i="1"/>
  <c r="AN45" i="1"/>
  <c r="AN47" i="1"/>
  <c r="AM95" i="1"/>
  <c r="AM96" i="1"/>
  <c r="AM97" i="1"/>
  <c r="AM98" i="1"/>
  <c r="AM99" i="1"/>
  <c r="AM94" i="1"/>
  <c r="AL108" i="1"/>
  <c r="AL110" i="1"/>
  <c r="AL112" i="1"/>
  <c r="AL107" i="1"/>
  <c r="AL109" i="1"/>
  <c r="AL111" i="1"/>
  <c r="AP69" i="1"/>
  <c r="AP71" i="1"/>
  <c r="AP73" i="1"/>
  <c r="AP68" i="1"/>
  <c r="AP70" i="1"/>
  <c r="AP72" i="1"/>
  <c r="AP81" i="1"/>
  <c r="AP83" i="1"/>
  <c r="AP85" i="1"/>
  <c r="AP82" i="1"/>
  <c r="AP84" i="1"/>
  <c r="AP86" i="1"/>
  <c r="AQ81" i="1"/>
  <c r="AQ83" i="1"/>
  <c r="AQ85" i="1"/>
  <c r="AQ82" i="1"/>
  <c r="AQ84" i="1"/>
  <c r="AQ86" i="1"/>
  <c r="AN107" i="1"/>
  <c r="AN109" i="1"/>
  <c r="AN111" i="1"/>
  <c r="AN108" i="1"/>
  <c r="AN110" i="1"/>
  <c r="AN112" i="1"/>
  <c r="AO55" i="1"/>
  <c r="AO57" i="1"/>
  <c r="AO59" i="1"/>
  <c r="AO56" i="1"/>
  <c r="AO58" i="1"/>
  <c r="AO60" i="1"/>
  <c r="AI82" i="1"/>
  <c r="AI84" i="1"/>
  <c r="AI86" i="1"/>
  <c r="AI81" i="1"/>
  <c r="AI83" i="1"/>
  <c r="AI85" i="1"/>
  <c r="AO94" i="1"/>
  <c r="AO96" i="1"/>
  <c r="AO98" i="1"/>
  <c r="AO95" i="1"/>
  <c r="AO97" i="1"/>
  <c r="AO99" i="1"/>
  <c r="AM108" i="1"/>
  <c r="AM109" i="1"/>
  <c r="AM110" i="1"/>
  <c r="AM111" i="1"/>
  <c r="AM112" i="1"/>
  <c r="AM107" i="1"/>
  <c r="AO30" i="1"/>
  <c r="AO32" i="1"/>
  <c r="AO34" i="1"/>
  <c r="AO29" i="1"/>
  <c r="AO33" i="1"/>
  <c r="AO31" i="1"/>
  <c r="AO69" i="1"/>
  <c r="AO71" i="1"/>
  <c r="AO73" i="1"/>
  <c r="AO68" i="1"/>
  <c r="AO70" i="1"/>
  <c r="AO72" i="1"/>
  <c r="AL94" i="1"/>
  <c r="AL96" i="1"/>
  <c r="AL98" i="1"/>
  <c r="AL99" i="1"/>
  <c r="AL95" i="1"/>
  <c r="AL97" i="1"/>
  <c r="AN82" i="1"/>
  <c r="AN84" i="1"/>
  <c r="AN86" i="1"/>
  <c r="AN81" i="1"/>
  <c r="AN83" i="1"/>
  <c r="AN85" i="1"/>
  <c r="AQ146" i="1"/>
  <c r="AQ148" i="1"/>
  <c r="AQ150" i="1"/>
  <c r="AQ147" i="1"/>
  <c r="AQ149" i="1"/>
  <c r="AQ151" i="1"/>
  <c r="AL56" i="1"/>
  <c r="AL58" i="1"/>
  <c r="AL60" i="1"/>
  <c r="AL55" i="1"/>
  <c r="AL57" i="1"/>
  <c r="AL59" i="1"/>
  <c r="AJ134" i="1"/>
  <c r="AJ136" i="1"/>
  <c r="AJ138" i="1"/>
  <c r="AJ133" i="1"/>
  <c r="AJ135" i="1"/>
  <c r="AJ137" i="1"/>
  <c r="AJ25" i="1"/>
  <c r="AL133" i="1"/>
  <c r="AL135" i="1"/>
  <c r="AL137" i="1"/>
  <c r="AL134" i="1"/>
  <c r="AL136" i="1"/>
  <c r="AL138" i="1"/>
  <c r="AO107" i="1"/>
  <c r="AO109" i="1"/>
  <c r="AO111" i="1"/>
  <c r="AO108" i="1"/>
  <c r="AO112" i="1"/>
  <c r="AO110" i="1"/>
  <c r="AQ29" i="1"/>
  <c r="AQ31" i="1"/>
  <c r="AQ33" i="1"/>
  <c r="AQ30" i="1"/>
  <c r="AQ32" i="1"/>
  <c r="AQ34" i="1"/>
  <c r="AI25" i="1"/>
  <c r="AP94" i="1"/>
  <c r="AP96" i="1"/>
  <c r="AP98" i="1"/>
  <c r="AP95" i="1"/>
  <c r="AP97" i="1"/>
  <c r="AP99" i="1"/>
  <c r="AL25" i="1"/>
  <c r="AQ121" i="1"/>
  <c r="AQ123" i="1"/>
  <c r="AQ125" i="1"/>
  <c r="AQ120" i="1"/>
  <c r="AQ122" i="1"/>
  <c r="AQ124" i="1"/>
  <c r="AM125" i="1"/>
  <c r="AM120" i="1"/>
  <c r="AM121" i="1"/>
  <c r="AM122" i="1"/>
  <c r="AM123" i="1"/>
  <c r="AM124" i="1"/>
  <c r="AL146" i="1"/>
  <c r="AL148" i="1"/>
  <c r="AL150" i="1"/>
  <c r="AL147" i="1"/>
  <c r="AL149" i="1"/>
  <c r="AL151" i="1"/>
  <c r="AJ42" i="1"/>
  <c r="AJ44" i="1"/>
  <c r="AJ46" i="1"/>
  <c r="AJ43" i="1"/>
  <c r="AJ45" i="1"/>
  <c r="AJ47" i="1"/>
  <c r="AN25" i="1"/>
  <c r="AJ82" i="1"/>
  <c r="AJ84" i="1"/>
  <c r="AJ86" i="1"/>
  <c r="AJ81" i="1"/>
  <c r="AJ83" i="1"/>
  <c r="AJ85" i="1"/>
  <c r="AQ133" i="1"/>
  <c r="AQ135" i="1"/>
  <c r="AQ137" i="1"/>
  <c r="AQ134" i="1"/>
  <c r="AQ136" i="1"/>
  <c r="AQ138" i="1"/>
  <c r="AN69" i="1"/>
  <c r="AN71" i="1"/>
  <c r="AN73" i="1"/>
  <c r="AN68" i="1"/>
  <c r="AN70" i="1"/>
  <c r="AN72" i="1"/>
  <c r="AM136" i="1"/>
  <c r="AM137" i="1"/>
  <c r="AM138" i="1"/>
  <c r="AM133" i="1"/>
  <c r="AM134" i="1"/>
  <c r="AM135" i="1"/>
  <c r="AO134" i="1"/>
  <c r="AO136" i="1"/>
  <c r="AO138" i="1"/>
  <c r="AO137" i="1"/>
  <c r="AO133" i="1"/>
  <c r="AO135" i="1"/>
  <c r="AL42" i="1"/>
  <c r="AL44" i="1"/>
  <c r="AL46" i="1"/>
  <c r="AL43" i="1"/>
  <c r="AL45" i="1"/>
  <c r="AL47" i="1"/>
  <c r="AI146" i="1"/>
  <c r="AI148" i="1"/>
  <c r="AI150" i="1"/>
  <c r="AI147" i="1"/>
  <c r="AI149" i="1"/>
  <c r="AI151" i="1"/>
  <c r="AP121" i="1"/>
  <c r="AP123" i="1"/>
  <c r="AP125" i="1"/>
  <c r="AP120" i="1"/>
  <c r="AP122" i="1"/>
  <c r="AP124" i="1"/>
  <c r="AM56" i="1"/>
  <c r="AM57" i="1"/>
  <c r="AM58" i="1"/>
  <c r="AM59" i="1"/>
  <c r="AM60" i="1"/>
  <c r="AM55" i="1"/>
  <c r="AL81" i="1"/>
  <c r="AL83" i="1"/>
  <c r="AL85" i="1"/>
  <c r="AL82" i="1"/>
  <c r="AL84" i="1"/>
  <c r="AL86" i="1"/>
  <c r="AI134" i="1"/>
  <c r="AI136" i="1"/>
  <c r="AI138" i="1"/>
  <c r="AI133" i="1"/>
  <c r="AI135" i="1"/>
  <c r="AI137" i="1"/>
  <c r="AN55" i="1"/>
  <c r="AN57" i="1"/>
  <c r="AN59" i="1"/>
  <c r="AN56" i="1"/>
  <c r="AN58" i="1"/>
  <c r="AN60" i="1"/>
  <c r="AJ94" i="1"/>
  <c r="AJ96" i="1"/>
  <c r="AJ98" i="1"/>
  <c r="AJ95" i="1"/>
  <c r="AJ97" i="1"/>
  <c r="AJ99" i="1"/>
  <c r="AP146" i="1"/>
  <c r="AP148" i="1"/>
  <c r="AP150" i="1"/>
  <c r="AP147" i="1"/>
  <c r="AP149" i="1"/>
  <c r="AP151" i="1"/>
  <c r="AI30" i="1"/>
  <c r="AI32" i="1"/>
  <c r="AI34" i="1"/>
  <c r="AI29" i="1"/>
  <c r="AI31" i="1"/>
  <c r="AI33" i="1"/>
  <c r="AI107" i="1"/>
  <c r="AI109" i="1"/>
  <c r="AI111" i="1"/>
  <c r="AI108" i="1"/>
  <c r="AI110" i="1"/>
  <c r="AI112" i="1"/>
  <c r="AN146" i="1"/>
  <c r="AN148" i="1"/>
  <c r="AN150" i="1"/>
  <c r="AN147" i="1"/>
  <c r="AN149" i="1"/>
  <c r="AN151" i="1"/>
  <c r="AO25" i="1"/>
  <c r="AQ25" i="1"/>
  <c r="AM25" i="1"/>
  <c r="AP25" i="1"/>
  <c r="E62" i="1"/>
  <c r="E64" i="1" s="1"/>
  <c r="E65" i="1" s="1"/>
  <c r="H85" i="1"/>
  <c r="B85" i="1"/>
  <c r="E61" i="1"/>
  <c r="H60" i="1"/>
  <c r="B63" i="1"/>
  <c r="H63" i="1"/>
  <c r="H42" i="1"/>
  <c r="E43" i="1"/>
  <c r="B66" i="1"/>
  <c r="B38" i="1"/>
  <c r="B44" i="1"/>
  <c r="H44" i="1" s="1"/>
  <c r="CB151" i="1" l="1"/>
  <c r="BN18" i="1"/>
  <c r="BR70" i="1"/>
  <c r="BF46" i="1"/>
  <c r="BM138" i="1"/>
  <c r="CD135" i="1"/>
  <c r="BO58" i="1"/>
  <c r="CJ149" i="1"/>
  <c r="BR71" i="1"/>
  <c r="BR73" i="1"/>
  <c r="BR69" i="1"/>
  <c r="BQ55" i="1"/>
  <c r="CD146" i="1"/>
  <c r="BR124" i="1"/>
  <c r="BQ135" i="1"/>
  <c r="CB149" i="1"/>
  <c r="CI146" i="1"/>
  <c r="BR122" i="1"/>
  <c r="CD120" i="1"/>
  <c r="BR123" i="1"/>
  <c r="CD125" i="1"/>
  <c r="BR121" i="1"/>
  <c r="CD121" i="1"/>
  <c r="CC33" i="1"/>
  <c r="CC34" i="1"/>
  <c r="CD151" i="1"/>
  <c r="BP86" i="1"/>
  <c r="CI122" i="1"/>
  <c r="CD149" i="1"/>
  <c r="CD150" i="1"/>
  <c r="CJ95" i="1"/>
  <c r="CB147" i="1"/>
  <c r="CC32" i="1"/>
  <c r="CJ99" i="1"/>
  <c r="CB150" i="1"/>
  <c r="CJ97" i="1"/>
  <c r="CB148" i="1"/>
  <c r="CI120" i="1"/>
  <c r="CB111" i="1"/>
  <c r="BQ81" i="1"/>
  <c r="CJ98" i="1"/>
  <c r="CI121" i="1"/>
  <c r="CJ96" i="1"/>
  <c r="BQ82" i="1"/>
  <c r="CJ59" i="1"/>
  <c r="BQ85" i="1"/>
  <c r="CJ58" i="1"/>
  <c r="BM18" i="1"/>
  <c r="BQ84" i="1"/>
  <c r="BQ83" i="1"/>
  <c r="CD138" i="1"/>
  <c r="CF136" i="1"/>
  <c r="CC30" i="1"/>
  <c r="CF123" i="1"/>
  <c r="CF96" i="1"/>
  <c r="CJ133" i="1"/>
  <c r="CI124" i="1"/>
  <c r="CF70" i="1"/>
  <c r="CF125" i="1"/>
  <c r="BR120" i="1"/>
  <c r="BU124" i="1"/>
  <c r="CC31" i="1"/>
  <c r="CI125" i="1"/>
  <c r="BR68" i="1"/>
  <c r="CD124" i="1"/>
  <c r="CD56" i="1"/>
  <c r="CC42" i="1"/>
  <c r="CH83" i="1"/>
  <c r="CD122" i="1"/>
  <c r="CJ83" i="1"/>
  <c r="CF94" i="1"/>
  <c r="BO59" i="1"/>
  <c r="BU120" i="1"/>
  <c r="CI149" i="1"/>
  <c r="CJ136" i="1"/>
  <c r="CF134" i="1"/>
  <c r="CD147" i="1"/>
  <c r="CD85" i="1"/>
  <c r="CE34" i="1"/>
  <c r="CJ146" i="1"/>
  <c r="BN110" i="1"/>
  <c r="CD57" i="1"/>
  <c r="CF108" i="1"/>
  <c r="CJ137" i="1"/>
  <c r="CD134" i="1"/>
  <c r="CI151" i="1"/>
  <c r="CJ135" i="1"/>
  <c r="CF135" i="1"/>
  <c r="CD137" i="1"/>
  <c r="BN108" i="1"/>
  <c r="CI147" i="1"/>
  <c r="CF133" i="1"/>
  <c r="CD133" i="1"/>
  <c r="CJ57" i="1"/>
  <c r="CF99" i="1"/>
  <c r="CI150" i="1"/>
  <c r="CF138" i="1"/>
  <c r="CJ55" i="1"/>
  <c r="CF98" i="1"/>
  <c r="BB46" i="1"/>
  <c r="CJ138" i="1"/>
  <c r="CJ60" i="1"/>
  <c r="CF97" i="1"/>
  <c r="CF147" i="1"/>
  <c r="BA42" i="1"/>
  <c r="CF112" i="1"/>
  <c r="CF68" i="1"/>
  <c r="CB107" i="1"/>
  <c r="BB43" i="1"/>
  <c r="CF73" i="1"/>
  <c r="CD59" i="1"/>
  <c r="CF124" i="1"/>
  <c r="BD43" i="1"/>
  <c r="CD55" i="1"/>
  <c r="CB112" i="1"/>
  <c r="CF122" i="1"/>
  <c r="CF111" i="1"/>
  <c r="CF72" i="1"/>
  <c r="CD60" i="1"/>
  <c r="CB110" i="1"/>
  <c r="CF121" i="1"/>
  <c r="CF110" i="1"/>
  <c r="CF71" i="1"/>
  <c r="CB108" i="1"/>
  <c r="BE32" i="1"/>
  <c r="BQ99" i="1"/>
  <c r="CJ148" i="1"/>
  <c r="CD86" i="1"/>
  <c r="CE33" i="1"/>
  <c r="BF45" i="1"/>
  <c r="CD84" i="1"/>
  <c r="CE31" i="1"/>
  <c r="CC45" i="1"/>
  <c r="BF43" i="1"/>
  <c r="CH81" i="1"/>
  <c r="CD82" i="1"/>
  <c r="CJ84" i="1"/>
  <c r="CE29" i="1"/>
  <c r="CC44" i="1"/>
  <c r="CJ151" i="1"/>
  <c r="BF42" i="1"/>
  <c r="CH84" i="1"/>
  <c r="CD83" i="1"/>
  <c r="CJ81" i="1"/>
  <c r="CE32" i="1"/>
  <c r="CJ147" i="1"/>
  <c r="BN60" i="1"/>
  <c r="BT94" i="1"/>
  <c r="CG125" i="1"/>
  <c r="CC120" i="1"/>
  <c r="CF151" i="1"/>
  <c r="CC121" i="1"/>
  <c r="CF148" i="1"/>
  <c r="CE125" i="1"/>
  <c r="AX34" i="1"/>
  <c r="CG43" i="1"/>
  <c r="CG42" i="1"/>
  <c r="BQ60" i="1"/>
  <c r="BQ58" i="1"/>
  <c r="BN16" i="1"/>
  <c r="AX29" i="1"/>
  <c r="CH86" i="1"/>
  <c r="CG123" i="1"/>
  <c r="CE124" i="1"/>
  <c r="CC137" i="1"/>
  <c r="BQ59" i="1"/>
  <c r="BS96" i="1"/>
  <c r="BT146" i="1"/>
  <c r="BU97" i="1"/>
  <c r="AX31" i="1"/>
  <c r="CG121" i="1"/>
  <c r="CC124" i="1"/>
  <c r="CE122" i="1"/>
  <c r="CG47" i="1"/>
  <c r="CC135" i="1"/>
  <c r="AX33" i="1"/>
  <c r="CH82" i="1"/>
  <c r="CC122" i="1"/>
  <c r="CE120" i="1"/>
  <c r="CJ86" i="1"/>
  <c r="CG45" i="1"/>
  <c r="CC47" i="1"/>
  <c r="CC133" i="1"/>
  <c r="CF146" i="1"/>
  <c r="BN20" i="1"/>
  <c r="BQ29" i="1"/>
  <c r="CC138" i="1"/>
  <c r="BQ56" i="1"/>
  <c r="BN21" i="1"/>
  <c r="BR55" i="1"/>
  <c r="AX32" i="1"/>
  <c r="CG124" i="1"/>
  <c r="CC125" i="1"/>
  <c r="CE123" i="1"/>
  <c r="CJ82" i="1"/>
  <c r="CG46" i="1"/>
  <c r="CC43" i="1"/>
  <c r="CC136" i="1"/>
  <c r="CF150" i="1"/>
  <c r="BN19" i="1"/>
  <c r="CG122" i="1"/>
  <c r="BA107" i="1"/>
  <c r="BA109" i="1"/>
  <c r="BA111" i="1"/>
  <c r="BA108" i="1"/>
  <c r="BA110" i="1"/>
  <c r="BA112" i="1"/>
  <c r="BD68" i="1"/>
  <c r="BD70" i="1"/>
  <c r="BD72" i="1"/>
  <c r="BD69" i="1"/>
  <c r="BD71" i="1"/>
  <c r="BD73" i="1"/>
  <c r="CB134" i="1"/>
  <c r="CB136" i="1"/>
  <c r="CB138" i="1"/>
  <c r="CB133" i="1"/>
  <c r="CB135" i="1"/>
  <c r="CB137" i="1"/>
  <c r="CC107" i="1"/>
  <c r="CC109" i="1"/>
  <c r="CC111" i="1"/>
  <c r="CC110" i="1"/>
  <c r="CC112" i="1"/>
  <c r="CC108" i="1"/>
  <c r="BN109" i="1"/>
  <c r="BM136" i="1"/>
  <c r="BR57" i="1"/>
  <c r="BQ96" i="1"/>
  <c r="CE17" i="1"/>
  <c r="CE19" i="1"/>
  <c r="CE21" i="1"/>
  <c r="CE16" i="1"/>
  <c r="CE18" i="1"/>
  <c r="CE20" i="1"/>
  <c r="CI17" i="1"/>
  <c r="CI19" i="1"/>
  <c r="CI21" i="1"/>
  <c r="CI16" i="1"/>
  <c r="CI18" i="1"/>
  <c r="CI20" i="1"/>
  <c r="BB42" i="1"/>
  <c r="CD17" i="1"/>
  <c r="CD19" i="1"/>
  <c r="CD21" i="1"/>
  <c r="CD16" i="1"/>
  <c r="CD18" i="1"/>
  <c r="CD20" i="1"/>
  <c r="BA69" i="1"/>
  <c r="BA71" i="1"/>
  <c r="BA73" i="1"/>
  <c r="BA68" i="1"/>
  <c r="BA70" i="1"/>
  <c r="BA72" i="1"/>
  <c r="AY82" i="1"/>
  <c r="AY84" i="1"/>
  <c r="AY86" i="1"/>
  <c r="AY81" i="1"/>
  <c r="AY83" i="1"/>
  <c r="AY85" i="1"/>
  <c r="BC133" i="1"/>
  <c r="BC135" i="1"/>
  <c r="BC137" i="1"/>
  <c r="BC138" i="1"/>
  <c r="BC134" i="1"/>
  <c r="BC136" i="1"/>
  <c r="BB121" i="1"/>
  <c r="BB122" i="1"/>
  <c r="BB123" i="1"/>
  <c r="BB124" i="1"/>
  <c r="BB120" i="1"/>
  <c r="BB125" i="1"/>
  <c r="BA134" i="1"/>
  <c r="BA136" i="1"/>
  <c r="BA138" i="1"/>
  <c r="BA133" i="1"/>
  <c r="BA135" i="1"/>
  <c r="BA137" i="1"/>
  <c r="BD55" i="1"/>
  <c r="BD57" i="1"/>
  <c r="BD59" i="1"/>
  <c r="BD56" i="1"/>
  <c r="BD58" i="1"/>
  <c r="BD60" i="1"/>
  <c r="CD94" i="1"/>
  <c r="CD96" i="1"/>
  <c r="CD98" i="1"/>
  <c r="CD95" i="1"/>
  <c r="CD97" i="1"/>
  <c r="CD99" i="1"/>
  <c r="CB121" i="1"/>
  <c r="CB123" i="1"/>
  <c r="CB125" i="1"/>
  <c r="CB120" i="1"/>
  <c r="CB122" i="1"/>
  <c r="CB124" i="1"/>
  <c r="CJ108" i="1"/>
  <c r="CJ110" i="1"/>
  <c r="CJ112" i="1"/>
  <c r="CJ107" i="1"/>
  <c r="CJ109" i="1"/>
  <c r="CJ111" i="1"/>
  <c r="CH94" i="1"/>
  <c r="CH96" i="1"/>
  <c r="CH98" i="1"/>
  <c r="CH95" i="1"/>
  <c r="CH97" i="1"/>
  <c r="CH99" i="1"/>
  <c r="CB42" i="1"/>
  <c r="CB44" i="1"/>
  <c r="CB46" i="1"/>
  <c r="CB43" i="1"/>
  <c r="CB45" i="1"/>
  <c r="CB47" i="1"/>
  <c r="AZ147" i="1"/>
  <c r="AZ149" i="1"/>
  <c r="AZ151" i="1"/>
  <c r="AZ150" i="1"/>
  <c r="AZ148" i="1"/>
  <c r="AZ146" i="1"/>
  <c r="AZ107" i="1"/>
  <c r="AZ109" i="1"/>
  <c r="AZ111" i="1"/>
  <c r="AZ110" i="1"/>
  <c r="AZ112" i="1"/>
  <c r="AZ108" i="1"/>
  <c r="BN112" i="1"/>
  <c r="BM134" i="1"/>
  <c r="BR59" i="1"/>
  <c r="BQ95" i="1"/>
  <c r="CG16" i="1"/>
  <c r="CG18" i="1"/>
  <c r="CG20" i="1"/>
  <c r="CG17" i="1"/>
  <c r="CG19" i="1"/>
  <c r="CG21" i="1"/>
  <c r="CB16" i="1"/>
  <c r="CB18" i="1"/>
  <c r="CB20" i="1"/>
  <c r="CB19" i="1"/>
  <c r="CB21" i="1"/>
  <c r="CB17" i="1"/>
  <c r="BB47" i="1"/>
  <c r="BF47" i="1"/>
  <c r="BC84" i="1"/>
  <c r="BC85" i="1"/>
  <c r="BC86" i="1"/>
  <c r="BC83" i="1"/>
  <c r="BC81" i="1"/>
  <c r="BC82" i="1"/>
  <c r="BD107" i="1"/>
  <c r="BD109" i="1"/>
  <c r="BD111" i="1"/>
  <c r="BD108" i="1"/>
  <c r="BD110" i="1"/>
  <c r="BD112" i="1"/>
  <c r="BD95" i="1"/>
  <c r="BD97" i="1"/>
  <c r="BD99" i="1"/>
  <c r="BD94" i="1"/>
  <c r="BD96" i="1"/>
  <c r="BD98" i="1"/>
  <c r="AX133" i="1"/>
  <c r="AX137" i="1"/>
  <c r="AX135" i="1"/>
  <c r="AX134" i="1"/>
  <c r="AX138" i="1"/>
  <c r="AX136" i="1"/>
  <c r="BB69" i="1"/>
  <c r="BB70" i="1"/>
  <c r="BB72" i="1"/>
  <c r="BB68" i="1"/>
  <c r="BB71" i="1"/>
  <c r="BB73" i="1"/>
  <c r="CC82" i="1"/>
  <c r="CC84" i="1"/>
  <c r="CC86" i="1"/>
  <c r="CC81" i="1"/>
  <c r="CC83" i="1"/>
  <c r="CC85" i="1"/>
  <c r="CG94" i="1"/>
  <c r="CG96" i="1"/>
  <c r="CG98" i="1"/>
  <c r="CG95" i="1"/>
  <c r="CG97" i="1"/>
  <c r="CG99" i="1"/>
  <c r="CI81" i="1"/>
  <c r="CI83" i="1"/>
  <c r="CI85" i="1"/>
  <c r="CI82" i="1"/>
  <c r="CI84" i="1"/>
  <c r="CI86" i="1"/>
  <c r="CI94" i="1"/>
  <c r="CI96" i="1"/>
  <c r="CI98" i="1"/>
  <c r="CI95" i="1"/>
  <c r="CI97" i="1"/>
  <c r="CI99" i="1"/>
  <c r="CH134" i="1"/>
  <c r="CH136" i="1"/>
  <c r="CH138" i="1"/>
  <c r="CH137" i="1"/>
  <c r="CH133" i="1"/>
  <c r="CH135" i="1"/>
  <c r="CH55" i="1"/>
  <c r="CH57" i="1"/>
  <c r="CH59" i="1"/>
  <c r="CH56" i="1"/>
  <c r="CH58" i="1"/>
  <c r="CH60" i="1"/>
  <c r="BC120" i="1"/>
  <c r="BC122" i="1"/>
  <c r="BC124" i="1"/>
  <c r="BC121" i="1"/>
  <c r="BC123" i="1"/>
  <c r="BC125" i="1"/>
  <c r="CG82" i="1"/>
  <c r="CG84" i="1"/>
  <c r="CG86" i="1"/>
  <c r="CG81" i="1"/>
  <c r="CG83" i="1"/>
  <c r="CG85" i="1"/>
  <c r="BQ94" i="1"/>
  <c r="CF17" i="1"/>
  <c r="CF18" i="1"/>
  <c r="CF19" i="1"/>
  <c r="CF20" i="1"/>
  <c r="CF21" i="1"/>
  <c r="CF16" i="1"/>
  <c r="BB133" i="1"/>
  <c r="BB134" i="1"/>
  <c r="BB135" i="1"/>
  <c r="BB137" i="1"/>
  <c r="BB138" i="1"/>
  <c r="BB136" i="1"/>
  <c r="AY107" i="1"/>
  <c r="AY109" i="1"/>
  <c r="AY111" i="1"/>
  <c r="AY108" i="1"/>
  <c r="AY110" i="1"/>
  <c r="AY112" i="1"/>
  <c r="BA33" i="1"/>
  <c r="AZ55" i="1"/>
  <c r="AZ57" i="1"/>
  <c r="AZ59" i="1"/>
  <c r="AZ56" i="1"/>
  <c r="AZ60" i="1"/>
  <c r="AZ58" i="1"/>
  <c r="AZ134" i="1"/>
  <c r="AZ136" i="1"/>
  <c r="AZ138" i="1"/>
  <c r="AZ133" i="1"/>
  <c r="AZ135" i="1"/>
  <c r="AZ137" i="1"/>
  <c r="BB150" i="1"/>
  <c r="BB151" i="1"/>
  <c r="BB146" i="1"/>
  <c r="BB148" i="1"/>
  <c r="BB147" i="1"/>
  <c r="BB149" i="1"/>
  <c r="AX68" i="1"/>
  <c r="AX70" i="1"/>
  <c r="AX72" i="1"/>
  <c r="AX73" i="1"/>
  <c r="AX69" i="1"/>
  <c r="AX71" i="1"/>
  <c r="CD69" i="1"/>
  <c r="CD71" i="1"/>
  <c r="CD73" i="1"/>
  <c r="CD68" i="1"/>
  <c r="CD70" i="1"/>
  <c r="CD72" i="1"/>
  <c r="CC146" i="1"/>
  <c r="CC148" i="1"/>
  <c r="CC150" i="1"/>
  <c r="CC147" i="1"/>
  <c r="CC149" i="1"/>
  <c r="CC151" i="1"/>
  <c r="CG107" i="1"/>
  <c r="CG109" i="1"/>
  <c r="CG111" i="1"/>
  <c r="CG108" i="1"/>
  <c r="CG110" i="1"/>
  <c r="CG112" i="1"/>
  <c r="CE146" i="1"/>
  <c r="CE148" i="1"/>
  <c r="CE150" i="1"/>
  <c r="CE147" i="1"/>
  <c r="CE149" i="1"/>
  <c r="CE151" i="1"/>
  <c r="CJ121" i="1"/>
  <c r="CJ123" i="1"/>
  <c r="CJ125" i="1"/>
  <c r="CJ120" i="1"/>
  <c r="CJ122" i="1"/>
  <c r="CJ124" i="1"/>
  <c r="CH69" i="1"/>
  <c r="CH71" i="1"/>
  <c r="CH73" i="1"/>
  <c r="CH68" i="1"/>
  <c r="CH70" i="1"/>
  <c r="CH72" i="1"/>
  <c r="BM135" i="1"/>
  <c r="BR58" i="1"/>
  <c r="CJ17" i="1"/>
  <c r="CJ19" i="1"/>
  <c r="CJ21" i="1"/>
  <c r="CJ16" i="1"/>
  <c r="CJ18" i="1"/>
  <c r="CJ20" i="1"/>
  <c r="BB98" i="1"/>
  <c r="BB99" i="1"/>
  <c r="BB94" i="1"/>
  <c r="BB96" i="1"/>
  <c r="BB95" i="1"/>
  <c r="BB97" i="1"/>
  <c r="BB45" i="1"/>
  <c r="BD134" i="1"/>
  <c r="BD136" i="1"/>
  <c r="BD138" i="1"/>
  <c r="BD133" i="1"/>
  <c r="BD135" i="1"/>
  <c r="BD137" i="1"/>
  <c r="BA94" i="1"/>
  <c r="BA96" i="1"/>
  <c r="BA98" i="1"/>
  <c r="BA95" i="1"/>
  <c r="BA97" i="1"/>
  <c r="BA99" i="1"/>
  <c r="BA34" i="1"/>
  <c r="BC147" i="1"/>
  <c r="BC149" i="1"/>
  <c r="BC151" i="1"/>
  <c r="BC150" i="1"/>
  <c r="BC146" i="1"/>
  <c r="BC148" i="1"/>
  <c r="BA82" i="1"/>
  <c r="BA84" i="1"/>
  <c r="BA86" i="1"/>
  <c r="BA81" i="1"/>
  <c r="BA83" i="1"/>
  <c r="BA85" i="1"/>
  <c r="BE55" i="1"/>
  <c r="BE57" i="1"/>
  <c r="BE59" i="1"/>
  <c r="BE58" i="1"/>
  <c r="BE60" i="1"/>
  <c r="BE56" i="1"/>
  <c r="CD42" i="1"/>
  <c r="CD44" i="1"/>
  <c r="CD46" i="1"/>
  <c r="CD47" i="1"/>
  <c r="CD43" i="1"/>
  <c r="CD45" i="1"/>
  <c r="CE94" i="1"/>
  <c r="CE96" i="1"/>
  <c r="CE98" i="1"/>
  <c r="CE95" i="1"/>
  <c r="CE97" i="1"/>
  <c r="CE99" i="1"/>
  <c r="CC55" i="1"/>
  <c r="CC57" i="1"/>
  <c r="CC59" i="1"/>
  <c r="CC58" i="1"/>
  <c r="CC60" i="1"/>
  <c r="CC56" i="1"/>
  <c r="CI69" i="1"/>
  <c r="CI71" i="1"/>
  <c r="CI73" i="1"/>
  <c r="CI68" i="1"/>
  <c r="CI70" i="1"/>
  <c r="CI72" i="1"/>
  <c r="CI42" i="1"/>
  <c r="CI44" i="1"/>
  <c r="CI46" i="1"/>
  <c r="CI45" i="1"/>
  <c r="CI47" i="1"/>
  <c r="CI43" i="1"/>
  <c r="BM137" i="1"/>
  <c r="BR60" i="1"/>
  <c r="BM96" i="1"/>
  <c r="BB109" i="1"/>
  <c r="BB110" i="1"/>
  <c r="BB111" i="1"/>
  <c r="BB107" i="1"/>
  <c r="BB108" i="1"/>
  <c r="BB112" i="1"/>
  <c r="BA32" i="1"/>
  <c r="AY147" i="1"/>
  <c r="AY149" i="1"/>
  <c r="AY151" i="1"/>
  <c r="AY146" i="1"/>
  <c r="AY148" i="1"/>
  <c r="AY150" i="1"/>
  <c r="BF55" i="1"/>
  <c r="BF57" i="1"/>
  <c r="BF59" i="1"/>
  <c r="BF56" i="1"/>
  <c r="BF58" i="1"/>
  <c r="BF60" i="1"/>
  <c r="AX120" i="1"/>
  <c r="AX122" i="1"/>
  <c r="AX124" i="1"/>
  <c r="AX123" i="1"/>
  <c r="AX125" i="1"/>
  <c r="AX121" i="1"/>
  <c r="CF56" i="1"/>
  <c r="CF57" i="1"/>
  <c r="CF58" i="1"/>
  <c r="CF59" i="1"/>
  <c r="CF60" i="1"/>
  <c r="CF55" i="1"/>
  <c r="CD108" i="1"/>
  <c r="CD110" i="1"/>
  <c r="CD112" i="1"/>
  <c r="CD107" i="1"/>
  <c r="CD109" i="1"/>
  <c r="CD111" i="1"/>
  <c r="CF84" i="1"/>
  <c r="CF85" i="1"/>
  <c r="CF86" i="1"/>
  <c r="CF81" i="1"/>
  <c r="CF82" i="1"/>
  <c r="CF83" i="1"/>
  <c r="CB69" i="1"/>
  <c r="CB71" i="1"/>
  <c r="CB73" i="1"/>
  <c r="CB68" i="1"/>
  <c r="CB70" i="1"/>
  <c r="CB72" i="1"/>
  <c r="CH30" i="1"/>
  <c r="CH32" i="1"/>
  <c r="CH34" i="1"/>
  <c r="CH29" i="1"/>
  <c r="CH31" i="1"/>
  <c r="CH33" i="1"/>
  <c r="CH16" i="1"/>
  <c r="CH18" i="1"/>
  <c r="CH20" i="1"/>
  <c r="CH17" i="1"/>
  <c r="CH19" i="1"/>
  <c r="CH21" i="1"/>
  <c r="BF94" i="1"/>
  <c r="BF96" i="1"/>
  <c r="BF98" i="1"/>
  <c r="BF95" i="1"/>
  <c r="BF97" i="1"/>
  <c r="BF99" i="1"/>
  <c r="AX95" i="1"/>
  <c r="AX97" i="1"/>
  <c r="AX99" i="1"/>
  <c r="AX94" i="1"/>
  <c r="AX98" i="1"/>
  <c r="AX96" i="1"/>
  <c r="BN111" i="1"/>
  <c r="BQ97" i="1"/>
  <c r="CC16" i="1"/>
  <c r="CC18" i="1"/>
  <c r="CC20" i="1"/>
  <c r="CC19" i="1"/>
  <c r="CC21" i="1"/>
  <c r="CC17" i="1"/>
  <c r="AX83" i="1"/>
  <c r="AX84" i="1"/>
  <c r="AX81" i="1"/>
  <c r="AX82" i="1"/>
  <c r="AX86" i="1"/>
  <c r="AX85" i="1"/>
  <c r="AZ82" i="1"/>
  <c r="AZ84" i="1"/>
  <c r="AZ86" i="1"/>
  <c r="AZ83" i="1"/>
  <c r="AZ81" i="1"/>
  <c r="AZ85" i="1"/>
  <c r="BA31" i="1"/>
  <c r="AY95" i="1"/>
  <c r="AY97" i="1"/>
  <c r="AY99" i="1"/>
  <c r="AY94" i="1"/>
  <c r="AY96" i="1"/>
  <c r="AY98" i="1"/>
  <c r="BD147" i="1"/>
  <c r="BD149" i="1"/>
  <c r="BD151" i="1"/>
  <c r="BD146" i="1"/>
  <c r="BD148" i="1"/>
  <c r="BD150" i="1"/>
  <c r="BF107" i="1"/>
  <c r="BF109" i="1"/>
  <c r="BF111" i="1"/>
  <c r="BF108" i="1"/>
  <c r="BF110" i="1"/>
  <c r="BF112" i="1"/>
  <c r="CB94" i="1"/>
  <c r="CB96" i="1"/>
  <c r="CB98" i="1"/>
  <c r="CB95" i="1"/>
  <c r="CB97" i="1"/>
  <c r="CB99" i="1"/>
  <c r="CG146" i="1"/>
  <c r="CG148" i="1"/>
  <c r="CG150" i="1"/>
  <c r="CG147" i="1"/>
  <c r="CG149" i="1"/>
  <c r="CG151" i="1"/>
  <c r="CE108" i="1"/>
  <c r="CE110" i="1"/>
  <c r="CE112" i="1"/>
  <c r="CE107" i="1"/>
  <c r="CE109" i="1"/>
  <c r="CE111" i="1"/>
  <c r="BB57" i="1"/>
  <c r="BB58" i="1"/>
  <c r="BB59" i="1"/>
  <c r="BB55" i="1"/>
  <c r="BB60" i="1"/>
  <c r="BB56" i="1"/>
  <c r="AY120" i="1"/>
  <c r="AY122" i="1"/>
  <c r="AY124" i="1"/>
  <c r="AY121" i="1"/>
  <c r="AY123" i="1"/>
  <c r="AY125" i="1"/>
  <c r="BE134" i="1"/>
  <c r="BE136" i="1"/>
  <c r="BE138" i="1"/>
  <c r="BE133" i="1"/>
  <c r="BE135" i="1"/>
  <c r="BE137" i="1"/>
  <c r="BA121" i="1"/>
  <c r="BA123" i="1"/>
  <c r="BA125" i="1"/>
  <c r="BA120" i="1"/>
  <c r="BA122" i="1"/>
  <c r="BA124" i="1"/>
  <c r="BF146" i="1"/>
  <c r="BF148" i="1"/>
  <c r="BF150" i="1"/>
  <c r="BF147" i="1"/>
  <c r="BF149" i="1"/>
  <c r="BF151" i="1"/>
  <c r="CJ69" i="1"/>
  <c r="CJ71" i="1"/>
  <c r="CJ73" i="1"/>
  <c r="CJ68" i="1"/>
  <c r="CJ72" i="1"/>
  <c r="CJ70" i="1"/>
  <c r="CI133" i="1"/>
  <c r="CI135" i="1"/>
  <c r="CI137" i="1"/>
  <c r="CI134" i="1"/>
  <c r="CI136" i="1"/>
  <c r="CI138" i="1"/>
  <c r="CI56" i="1"/>
  <c r="CI58" i="1"/>
  <c r="CI60" i="1"/>
  <c r="CI55" i="1"/>
  <c r="CI57" i="1"/>
  <c r="CI59" i="1"/>
  <c r="BS98" i="1"/>
  <c r="BQ133" i="1"/>
  <c r="BS94" i="1"/>
  <c r="BQ136" i="1"/>
  <c r="BS99" i="1"/>
  <c r="BS97" i="1"/>
  <c r="BP42" i="1"/>
  <c r="BP44" i="1"/>
  <c r="AY30" i="1"/>
  <c r="BE33" i="1"/>
  <c r="BE31" i="1"/>
  <c r="BN55" i="1"/>
  <c r="BQ134" i="1"/>
  <c r="BD30" i="1"/>
  <c r="BE29" i="1"/>
  <c r="BA29" i="1"/>
  <c r="BS111" i="1"/>
  <c r="BQ137" i="1"/>
  <c r="BC46" i="1"/>
  <c r="BE34" i="1"/>
  <c r="BP112" i="1"/>
  <c r="BC44" i="1"/>
  <c r="BA47" i="1"/>
  <c r="BP109" i="1"/>
  <c r="BU85" i="1"/>
  <c r="BC42" i="1"/>
  <c r="BA45" i="1"/>
  <c r="BR111" i="1"/>
  <c r="BP107" i="1"/>
  <c r="BU83" i="1"/>
  <c r="BU47" i="1"/>
  <c r="BC47" i="1"/>
  <c r="BA43" i="1"/>
  <c r="BR108" i="1"/>
  <c r="BU82" i="1"/>
  <c r="BU45" i="1"/>
  <c r="BC45" i="1"/>
  <c r="BA46" i="1"/>
  <c r="BM21" i="1"/>
  <c r="BU42" i="1"/>
  <c r="BM98" i="1"/>
  <c r="BT98" i="1"/>
  <c r="BM94" i="1"/>
  <c r="BT96" i="1"/>
  <c r="BT97" i="1"/>
  <c r="BT99" i="1"/>
  <c r="BM99" i="1"/>
  <c r="BM97" i="1"/>
  <c r="BU94" i="1"/>
  <c r="AY32" i="1"/>
  <c r="BU96" i="1"/>
  <c r="BU123" i="1"/>
  <c r="BU99" i="1"/>
  <c r="AY33" i="1"/>
  <c r="AY31" i="1"/>
  <c r="BU95" i="1"/>
  <c r="AY29" i="1"/>
  <c r="BD32" i="1"/>
  <c r="BU68" i="1"/>
  <c r="BD33" i="1"/>
  <c r="BD31" i="1"/>
  <c r="BD29" i="1"/>
  <c r="BQ148" i="1"/>
  <c r="BQ42" i="1"/>
  <c r="BD44" i="1"/>
  <c r="BD47" i="1"/>
  <c r="BD45" i="1"/>
  <c r="BD46" i="1"/>
  <c r="BS69" i="1"/>
  <c r="BA17" i="1"/>
  <c r="BA19" i="1"/>
  <c r="BA16" i="1"/>
  <c r="BA18" i="1"/>
  <c r="BA20" i="1"/>
  <c r="BA21" i="1"/>
  <c r="AZ16" i="1"/>
  <c r="AZ18" i="1"/>
  <c r="AZ20" i="1"/>
  <c r="AZ17" i="1"/>
  <c r="AZ19" i="1"/>
  <c r="AZ21" i="1"/>
  <c r="BF16" i="1"/>
  <c r="BF18" i="1"/>
  <c r="BF20" i="1"/>
  <c r="BF17" i="1"/>
  <c r="BF19" i="1"/>
  <c r="BF21" i="1"/>
  <c r="AX20" i="1"/>
  <c r="AX18" i="1"/>
  <c r="AX17" i="1"/>
  <c r="AX19" i="1"/>
  <c r="AX21" i="1"/>
  <c r="AX16" i="1"/>
  <c r="BB18" i="1"/>
  <c r="BB16" i="1"/>
  <c r="BB19" i="1"/>
  <c r="BB20" i="1"/>
  <c r="BB17" i="1"/>
  <c r="BB21" i="1"/>
  <c r="AY16" i="1"/>
  <c r="AY18" i="1"/>
  <c r="AY20" i="1"/>
  <c r="AY17" i="1"/>
  <c r="AY21" i="1"/>
  <c r="AY19" i="1"/>
  <c r="AZ30" i="1"/>
  <c r="AZ32" i="1"/>
  <c r="AZ34" i="1"/>
  <c r="AZ29" i="1"/>
  <c r="AZ31" i="1"/>
  <c r="AZ33" i="1"/>
  <c r="AY46" i="1"/>
  <c r="AY42" i="1"/>
  <c r="AY43" i="1"/>
  <c r="AY45" i="1"/>
  <c r="AY47" i="1"/>
  <c r="AY44" i="1"/>
  <c r="BC18" i="1"/>
  <c r="BC16" i="1"/>
  <c r="BC17" i="1"/>
  <c r="BC19" i="1"/>
  <c r="BC21" i="1"/>
  <c r="BC20" i="1"/>
  <c r="BE16" i="1"/>
  <c r="BE18" i="1"/>
  <c r="BE20" i="1"/>
  <c r="BE17" i="1"/>
  <c r="BE19" i="1"/>
  <c r="BE21" i="1"/>
  <c r="BO82" i="1"/>
  <c r="BD16" i="1"/>
  <c r="BD18" i="1"/>
  <c r="BD20" i="1"/>
  <c r="BD21" i="1"/>
  <c r="BD19" i="1"/>
  <c r="BD17" i="1"/>
  <c r="AX43" i="1"/>
  <c r="AX45" i="1"/>
  <c r="AX47" i="1"/>
  <c r="AX42" i="1"/>
  <c r="AX44" i="1"/>
  <c r="AX46" i="1"/>
  <c r="BU84" i="1"/>
  <c r="BU46" i="1"/>
  <c r="BU121" i="1"/>
  <c r="BM16" i="1"/>
  <c r="BO55" i="1"/>
  <c r="BP110" i="1"/>
  <c r="BP45" i="1"/>
  <c r="BM19" i="1"/>
  <c r="BO60" i="1"/>
  <c r="BP111" i="1"/>
  <c r="BP43" i="1"/>
  <c r="BU86" i="1"/>
  <c r="BP47" i="1"/>
  <c r="BU44" i="1"/>
  <c r="BU125" i="1"/>
  <c r="BM17" i="1"/>
  <c r="BU70" i="1"/>
  <c r="BO57" i="1"/>
  <c r="BS110" i="1"/>
  <c r="BN84" i="1"/>
  <c r="BT124" i="1"/>
  <c r="BT122" i="1"/>
  <c r="BT123" i="1"/>
  <c r="BT125" i="1"/>
  <c r="BT121" i="1"/>
  <c r="BT120" i="1"/>
  <c r="BO112" i="1"/>
  <c r="BT107" i="1"/>
  <c r="BT108" i="1"/>
  <c r="BO107" i="1"/>
  <c r="BQ34" i="1"/>
  <c r="BS71" i="1"/>
  <c r="BN86" i="1"/>
  <c r="BO110" i="1"/>
  <c r="BQ30" i="1"/>
  <c r="BS70" i="1"/>
  <c r="BN83" i="1"/>
  <c r="BO108" i="1"/>
  <c r="BQ33" i="1"/>
  <c r="BS68" i="1"/>
  <c r="BQ32" i="1"/>
  <c r="BO111" i="1"/>
  <c r="BS73" i="1"/>
  <c r="BQ43" i="1"/>
  <c r="BU71" i="1"/>
  <c r="BP81" i="1"/>
  <c r="BN59" i="1"/>
  <c r="BT148" i="1"/>
  <c r="BQ146" i="1"/>
  <c r="BT110" i="1"/>
  <c r="BP84" i="1"/>
  <c r="BT151" i="1"/>
  <c r="BR109" i="1"/>
  <c r="BP82" i="1"/>
  <c r="BS109" i="1"/>
  <c r="BT147" i="1"/>
  <c r="BQ149" i="1"/>
  <c r="BN82" i="1"/>
  <c r="BQ45" i="1"/>
  <c r="BR107" i="1"/>
  <c r="BU73" i="1"/>
  <c r="BN58" i="1"/>
  <c r="BS108" i="1"/>
  <c r="BT149" i="1"/>
  <c r="BQ150" i="1"/>
  <c r="BQ46" i="1"/>
  <c r="BR112" i="1"/>
  <c r="BU69" i="1"/>
  <c r="BN57" i="1"/>
  <c r="BS112" i="1"/>
  <c r="BQ151" i="1"/>
  <c r="BT109" i="1"/>
  <c r="BQ47" i="1"/>
  <c r="BP85" i="1"/>
  <c r="BT112" i="1"/>
  <c r="BO84" i="1"/>
  <c r="BO85" i="1"/>
  <c r="BO83" i="1"/>
  <c r="BO81" i="1"/>
  <c r="BN81" i="1"/>
  <c r="BN120" i="1"/>
  <c r="BS149" i="1"/>
  <c r="BS151" i="1"/>
  <c r="BS150" i="1"/>
  <c r="BS146" i="1"/>
  <c r="BS148" i="1"/>
  <c r="BS147" i="1"/>
  <c r="BS16" i="1"/>
  <c r="BS18" i="1"/>
  <c r="BS20" i="1"/>
  <c r="BS17" i="1"/>
  <c r="BS19" i="1"/>
  <c r="BS21" i="1"/>
  <c r="BU60" i="1"/>
  <c r="BU56" i="1"/>
  <c r="BU55" i="1"/>
  <c r="BU57" i="1"/>
  <c r="BU59" i="1"/>
  <c r="BU58" i="1"/>
  <c r="BN99" i="1"/>
  <c r="BN94" i="1"/>
  <c r="BN96" i="1"/>
  <c r="BN98" i="1"/>
  <c r="BN95" i="1"/>
  <c r="BN97" i="1"/>
  <c r="BQ16" i="1"/>
  <c r="BQ17" i="1"/>
  <c r="BQ18" i="1"/>
  <c r="BQ21" i="1"/>
  <c r="BQ20" i="1"/>
  <c r="BQ19" i="1"/>
  <c r="BN125" i="1"/>
  <c r="BP138" i="1"/>
  <c r="BP134" i="1"/>
  <c r="BP136" i="1"/>
  <c r="BP133" i="1"/>
  <c r="BP135" i="1"/>
  <c r="BP137" i="1"/>
  <c r="BN122" i="1"/>
  <c r="BN123" i="1"/>
  <c r="BM107" i="1"/>
  <c r="BM108" i="1"/>
  <c r="BM112" i="1"/>
  <c r="BM110" i="1"/>
  <c r="BM109" i="1"/>
  <c r="BM111" i="1"/>
  <c r="BN121" i="1"/>
  <c r="BO44" i="1"/>
  <c r="BO46" i="1"/>
  <c r="BO45" i="1"/>
  <c r="BO43" i="1"/>
  <c r="BO47" i="1"/>
  <c r="BO42" i="1"/>
  <c r="BT45" i="1"/>
  <c r="BT43" i="1"/>
  <c r="BT47" i="1"/>
  <c r="BT42" i="1"/>
  <c r="BT44" i="1"/>
  <c r="BT46" i="1"/>
  <c r="BS43" i="1"/>
  <c r="BS45" i="1"/>
  <c r="BS47" i="1"/>
  <c r="BS42" i="1"/>
  <c r="BS44" i="1"/>
  <c r="BS46" i="1"/>
  <c r="BM146" i="1"/>
  <c r="BM148" i="1"/>
  <c r="BM150" i="1"/>
  <c r="BM147" i="1"/>
  <c r="BM149" i="1"/>
  <c r="BM151" i="1"/>
  <c r="BM121" i="1"/>
  <c r="BM123" i="1"/>
  <c r="BM125" i="1"/>
  <c r="BM120" i="1"/>
  <c r="BM122" i="1"/>
  <c r="BM124" i="1"/>
  <c r="BU107" i="1"/>
  <c r="BU109" i="1"/>
  <c r="BU111" i="1"/>
  <c r="BU108" i="1"/>
  <c r="BU110" i="1"/>
  <c r="BU112" i="1"/>
  <c r="BR94" i="1"/>
  <c r="BR96" i="1"/>
  <c r="BR98" i="1"/>
  <c r="BR95" i="1"/>
  <c r="BR97" i="1"/>
  <c r="BR99" i="1"/>
  <c r="BS81" i="1"/>
  <c r="BS82" i="1"/>
  <c r="BS86" i="1"/>
  <c r="BS83" i="1"/>
  <c r="BS84" i="1"/>
  <c r="BS85" i="1"/>
  <c r="BP123" i="1"/>
  <c r="BP124" i="1"/>
  <c r="BP120" i="1"/>
  <c r="BP121" i="1"/>
  <c r="BP125" i="1"/>
  <c r="BP122" i="1"/>
  <c r="BP148" i="1"/>
  <c r="BP149" i="1"/>
  <c r="BP146" i="1"/>
  <c r="BP150" i="1"/>
  <c r="BP147" i="1"/>
  <c r="BP151" i="1"/>
  <c r="BO68" i="1"/>
  <c r="BO72" i="1"/>
  <c r="BO70" i="1"/>
  <c r="BO69" i="1"/>
  <c r="BO71" i="1"/>
  <c r="BO73" i="1"/>
  <c r="BU17" i="1"/>
  <c r="BU21" i="1"/>
  <c r="BU19" i="1"/>
  <c r="BU16" i="1"/>
  <c r="BU18" i="1"/>
  <c r="BU20" i="1"/>
  <c r="BS32" i="1"/>
  <c r="BS30" i="1"/>
  <c r="BS34" i="1"/>
  <c r="BS29" i="1"/>
  <c r="BS31" i="1"/>
  <c r="BS33" i="1"/>
  <c r="BP19" i="1"/>
  <c r="BP17" i="1"/>
  <c r="BP20" i="1"/>
  <c r="BP21" i="1"/>
  <c r="BP16" i="1"/>
  <c r="BP18" i="1"/>
  <c r="BU134" i="1"/>
  <c r="BU136" i="1"/>
  <c r="BU138" i="1"/>
  <c r="BU133" i="1"/>
  <c r="BU135" i="1"/>
  <c r="BU137" i="1"/>
  <c r="BP30" i="1"/>
  <c r="BP32" i="1"/>
  <c r="BP34" i="1"/>
  <c r="BP29" i="1"/>
  <c r="BP31" i="1"/>
  <c r="BP33" i="1"/>
  <c r="BR135" i="1"/>
  <c r="BR133" i="1"/>
  <c r="BR137" i="1"/>
  <c r="BR134" i="1"/>
  <c r="BR136" i="1"/>
  <c r="BR138" i="1"/>
  <c r="BR146" i="1"/>
  <c r="BR148" i="1"/>
  <c r="BR150" i="1"/>
  <c r="BR147" i="1"/>
  <c r="BR149" i="1"/>
  <c r="BR151" i="1"/>
  <c r="BR42" i="1"/>
  <c r="BR44" i="1"/>
  <c r="BR46" i="1"/>
  <c r="BR43" i="1"/>
  <c r="BR45" i="1"/>
  <c r="BR47" i="1"/>
  <c r="BT133" i="1"/>
  <c r="BT135" i="1"/>
  <c r="BT137" i="1"/>
  <c r="BT134" i="1"/>
  <c r="BT136" i="1"/>
  <c r="BT138" i="1"/>
  <c r="BN68" i="1"/>
  <c r="BN70" i="1"/>
  <c r="BN72" i="1"/>
  <c r="BN69" i="1"/>
  <c r="BN71" i="1"/>
  <c r="BN73" i="1"/>
  <c r="BS60" i="1"/>
  <c r="BS57" i="1"/>
  <c r="BS58" i="1"/>
  <c r="BS55" i="1"/>
  <c r="BS59" i="1"/>
  <c r="BS56" i="1"/>
  <c r="BN43" i="1"/>
  <c r="BN45" i="1"/>
  <c r="BN47" i="1"/>
  <c r="BN42" i="1"/>
  <c r="BN44" i="1"/>
  <c r="BN46" i="1"/>
  <c r="AP17" i="1"/>
  <c r="AP19" i="1"/>
  <c r="AP21" i="1"/>
  <c r="AP16" i="1"/>
  <c r="AP18" i="1"/>
  <c r="AP20" i="1"/>
  <c r="AM21" i="1"/>
  <c r="AM16" i="1"/>
  <c r="AM17" i="1"/>
  <c r="AM18" i="1"/>
  <c r="AM19" i="1"/>
  <c r="AM20" i="1"/>
  <c r="AQ17" i="1"/>
  <c r="AQ19" i="1"/>
  <c r="AQ21" i="1"/>
  <c r="AQ16" i="1"/>
  <c r="AQ18" i="1"/>
  <c r="AQ20" i="1"/>
  <c r="AN17" i="1"/>
  <c r="AN19" i="1"/>
  <c r="AN21" i="1"/>
  <c r="AN16" i="1"/>
  <c r="AN18" i="1"/>
  <c r="AN20" i="1"/>
  <c r="AI17" i="1"/>
  <c r="AI19" i="1"/>
  <c r="AI21" i="1"/>
  <c r="AI16" i="1"/>
  <c r="AI18" i="1"/>
  <c r="AI20" i="1"/>
  <c r="AO17" i="1"/>
  <c r="AO19" i="1"/>
  <c r="AO21" i="1"/>
  <c r="AO16" i="1"/>
  <c r="AO18" i="1"/>
  <c r="AO20" i="1"/>
  <c r="AL17" i="1"/>
  <c r="AL19" i="1"/>
  <c r="AL21" i="1"/>
  <c r="AL20" i="1"/>
  <c r="AL16" i="1"/>
  <c r="AL18" i="1"/>
  <c r="AJ17" i="1"/>
  <c r="AJ19" i="1"/>
  <c r="AJ21" i="1"/>
  <c r="AJ16" i="1"/>
  <c r="AJ18" i="1"/>
  <c r="AJ20" i="1"/>
  <c r="B62" i="1"/>
  <c r="B67" i="1"/>
  <c r="B68" i="1" s="1"/>
  <c r="E68" i="1" s="1"/>
  <c r="B61" i="1"/>
  <c r="H61" i="1"/>
  <c r="B43" i="1"/>
  <c r="H43" i="1"/>
  <c r="E45" i="1"/>
  <c r="M71" i="1" l="1"/>
  <c r="M72" i="1" s="1"/>
  <c r="R72" i="1" s="1"/>
  <c r="H62" i="1"/>
  <c r="B45" i="1"/>
  <c r="B49" i="1" s="1"/>
  <c r="B50" i="1" s="1"/>
  <c r="H45" i="1"/>
  <c r="B51" i="1" l="1"/>
  <c r="R71" i="1"/>
  <c r="B64" i="1" l="1"/>
  <c r="H64" i="1"/>
  <c r="B65" i="1" l="1"/>
  <c r="H65" i="1"/>
  <c r="CF107" i="1"/>
</calcChain>
</file>

<file path=xl/sharedStrings.xml><?xml version="1.0" encoding="utf-8"?>
<sst xmlns="http://schemas.openxmlformats.org/spreadsheetml/2006/main" count="1609" uniqueCount="180">
  <si>
    <t>m/s</t>
  </si>
  <si>
    <t>km/hr</t>
  </si>
  <si>
    <t>hr/km</t>
  </si>
  <si>
    <t>Airspeed</t>
  </si>
  <si>
    <t>Sink</t>
  </si>
  <si>
    <t>(km/hr)</t>
  </si>
  <si>
    <t>(m/s)</t>
  </si>
  <si>
    <t>kg</t>
  </si>
  <si>
    <t>knots</t>
  </si>
  <si>
    <t>lbs</t>
  </si>
  <si>
    <t>(knots)</t>
  </si>
  <si>
    <t>Results</t>
  </si>
  <si>
    <t>Cambridge values adjusted for weight difference from when polar was measured</t>
  </si>
  <si>
    <t>gal</t>
  </si>
  <si>
    <t>m²</t>
  </si>
  <si>
    <t>ft²</t>
  </si>
  <si>
    <t>MacCready</t>
  </si>
  <si>
    <t>:1</t>
  </si>
  <si>
    <t>Line (knots)</t>
  </si>
  <si>
    <t>Line (metric)</t>
  </si>
  <si>
    <t>The headwind or tailwind calculation is only of value when maximizing distance over the ground on final glide.</t>
  </si>
  <si>
    <t>Set the headwind to zero when flying a task for maximum speed.  You are moving with the airmass.</t>
  </si>
  <si>
    <t>Headwind (negative number for tailwind)</t>
  </si>
  <si>
    <t>Set MacCready Ring To (to account for headwind)</t>
  </si>
  <si>
    <t>Cross-Country Speed (Where line crosses zero)</t>
  </si>
  <si>
    <t>Glide Ratio Over Ground (taking wind into account)</t>
  </si>
  <si>
    <t>Red Lines on Above Graphs</t>
  </si>
  <si>
    <t>by Paul E. Remde</t>
  </si>
  <si>
    <t>Instructions</t>
  </si>
  <si>
    <t/>
  </si>
  <si>
    <t>This will maximize your speed around the course.</t>
  </si>
  <si>
    <t>ENTER</t>
  </si>
  <si>
    <t>Reserve Altitude for Pattern</t>
  </si>
  <si>
    <t>feet</t>
  </si>
  <si>
    <t>Headwind</t>
  </si>
  <si>
    <t>Wind</t>
  </si>
  <si>
    <t>Tailwind</t>
  </si>
  <si>
    <t>Units</t>
  </si>
  <si>
    <t>Altitude Required To Go</t>
  </si>
  <si>
    <t>mi</t>
  </si>
  <si>
    <t>Speed To Fly</t>
  </si>
  <si>
    <t>Set Speed Ring To</t>
  </si>
  <si>
    <t>Glide Ratio</t>
  </si>
  <si>
    <t>Sink Rate</t>
  </si>
  <si>
    <t>For example: Assume you are climbing at 8 knots.</t>
  </si>
  <si>
    <t>Look-up the altitude required using a MacCready setting of 8.</t>
  </si>
  <si>
    <t xml:space="preserve">If you cannot make it home using this MacCready setting, you should </t>
  </si>
  <si>
    <t>continue on to the next thermal rather than flying home at a slower MacCready setting.</t>
  </si>
  <si>
    <t>Destination Field Elevation</t>
  </si>
  <si>
    <t>Speed Over the Ground</t>
  </si>
  <si>
    <t>Average Cruise Speed (Accounting for Headwind)</t>
  </si>
  <si>
    <t>Slope of red line</t>
  </si>
  <si>
    <t>Altitude Used Over 10 Miles</t>
  </si>
  <si>
    <t>Glider Type</t>
  </si>
  <si>
    <t>Glider ID</t>
  </si>
  <si>
    <t>Wing Loading</t>
  </si>
  <si>
    <t>Wing Area</t>
  </si>
  <si>
    <t>All-Up Weight (wet)</t>
  </si>
  <si>
    <t>Max. All-Up Weight</t>
  </si>
  <si>
    <t>L (=kg)</t>
  </si>
  <si>
    <t>kg/m²</t>
  </si>
  <si>
    <t>Lb/ft²</t>
  </si>
  <si>
    <t>Water Ballast Loaded</t>
  </si>
  <si>
    <t>Max. water ballast</t>
  </si>
  <si>
    <t>Weight at which the polar data was measured</t>
  </si>
  <si>
    <t>Weight, with pilot, no water ballast, this glider</t>
  </si>
  <si>
    <t>E1C (Best Glide Ratio)</t>
  </si>
  <si>
    <t>V1C (Best Glide Speed)</t>
  </si>
  <si>
    <t>V2C (Speed at sink =2m/s=3.885knots=393.72 ft/min)</t>
  </si>
  <si>
    <t>V1R (Airspeed #1)</t>
  </si>
  <si>
    <t>W1R (Sink #1) (enter a negative number)</t>
  </si>
  <si>
    <t>V2R (Airspeed #2)</t>
  </si>
  <si>
    <t>W2C - Sink Rate at V2 (Cambridge)</t>
  </si>
  <si>
    <t>W2R (Sink #2) (enter a negative number)</t>
  </si>
  <si>
    <t>V3R (Airspeed #3)</t>
  </si>
  <si>
    <t>W3R (Sink #3) (enter a negative number)</t>
  </si>
  <si>
    <t>Polar Offset Scaler (square root of ratio of weights)</t>
  </si>
  <si>
    <t>E1C' (Max Glide Ratio)</t>
  </si>
  <si>
    <t>V1C' (Best Glide Speed)</t>
  </si>
  <si>
    <t>3 Points on the polar (Reichmann)</t>
  </si>
  <si>
    <t>W1R' - Sink rate 1</t>
  </si>
  <si>
    <t>V1R' - Airspeed 1 (Best Glide Speed)</t>
  </si>
  <si>
    <t>V2R' - Airspeed 2</t>
  </si>
  <si>
    <t>W2R' - Sink Rate 2</t>
  </si>
  <si>
    <t>V3R' - Airspeed 3</t>
  </si>
  <si>
    <t>W3R' - Sink Rate 3</t>
  </si>
  <si>
    <t>a (from Naviter or LXNAV polar setup page)</t>
  </si>
  <si>
    <t>b (from Naviter or LXNAV polar setup page)</t>
  </si>
  <si>
    <t>c (from Naviter or LXNAV polar setup page)</t>
  </si>
  <si>
    <t>Scroll down and right for more interesting graphs and tables.</t>
  </si>
  <si>
    <t>Enter polar data in one of 3 formats and see polar plots, final glide tables, etc.</t>
  </si>
  <si>
    <t>by Paul E. Remde of Cumulus Soaring, Inc.</t>
  </si>
  <si>
    <t xml:space="preserve">Enter data into the yellow cells below.  </t>
  </si>
  <si>
    <t>Green cells show key results.</t>
  </si>
  <si>
    <t>Method</t>
  </si>
  <si>
    <t>SeeYou Polar Coefficients (polar shifted for weight difference)</t>
  </si>
  <si>
    <t>aN' (Naviter/LXNAV)</t>
  </si>
  <si>
    <t>bN' (Naviter/LXNAV)</t>
  </si>
  <si>
    <t>cN' (Naviter/LXNAV)</t>
  </si>
  <si>
    <t xml:space="preserve">V1N </t>
  </si>
  <si>
    <t>W1N</t>
  </si>
  <si>
    <t>V2N</t>
  </si>
  <si>
    <t>V3N</t>
  </si>
  <si>
    <t>W2N</t>
  </si>
  <si>
    <t>W3N</t>
  </si>
  <si>
    <t>aR (Reichmann)</t>
  </si>
  <si>
    <t>bR (Reichmann)</t>
  </si>
  <si>
    <t>cR (Reichmann)</t>
  </si>
  <si>
    <t>aR' (Reichmann)</t>
  </si>
  <si>
    <t>bR' (Reichmann)</t>
  </si>
  <si>
    <t>cR' (Reichmann)</t>
  </si>
  <si>
    <t>W1C' (Sink Rate at Best L/D Speed)</t>
  </si>
  <si>
    <t>V2C' (Speed at sink= -2 m/s= -3.885 kts= -7.2 km/hr)</t>
  </si>
  <si>
    <t>Speed-To-Fly (Vstf)</t>
  </si>
  <si>
    <t>Miscellaneous Results</t>
  </si>
  <si>
    <r>
      <t>Speed-To-Fly Given MacCready and Headwind and Airmas Motion (sinking or rising airmass)</t>
    </r>
    <r>
      <rPr>
        <sz val="10"/>
        <rFont val="Arial"/>
        <family val="2"/>
      </rPr>
      <t xml:space="preserve"> (red lines on graphs)</t>
    </r>
  </si>
  <si>
    <t>Sink Rate in airmass at Speed-to-Fly (Wstf)</t>
  </si>
  <si>
    <t xml:space="preserve">Sink Rate relative to ground at Speed-to-Fly </t>
  </si>
  <si>
    <t>Glide Ratio Through Airmass (ignoring wind or sink)</t>
  </si>
  <si>
    <t>Airmass Motion (Sill Air = 0, Negative for sink)</t>
  </si>
  <si>
    <r>
      <t>Polar Entry Method: 1</t>
    </r>
    <r>
      <rPr>
        <b/>
        <sz val="10"/>
        <color theme="7"/>
        <rFont val="Arial"/>
        <family val="2"/>
      </rPr>
      <t>=Cambridge</t>
    </r>
    <r>
      <rPr>
        <b/>
        <sz val="10"/>
        <rFont val="Arial"/>
        <family val="2"/>
      </rPr>
      <t xml:space="preserve">, </t>
    </r>
    <r>
      <rPr>
        <b/>
        <sz val="10"/>
        <color theme="3"/>
        <rFont val="Arial"/>
        <family val="2"/>
      </rPr>
      <t>2=Reichmann</t>
    </r>
    <r>
      <rPr>
        <b/>
        <sz val="10"/>
        <rFont val="Arial"/>
        <family val="2"/>
      </rPr>
      <t xml:space="preserve">, </t>
    </r>
    <r>
      <rPr>
        <b/>
        <sz val="10"/>
        <color rgb="FFC00000"/>
        <rFont val="Arial"/>
        <family val="2"/>
      </rPr>
      <t>3=Naviter</t>
    </r>
  </si>
  <si>
    <t>Cumulus Soaring, Inc.</t>
  </si>
  <si>
    <t>Use climb rate of last  thermal to determine when to begin your final glide, and MacCready setting.</t>
  </si>
  <si>
    <t>Conversions</t>
  </si>
  <si>
    <t>Knots to km/hr</t>
  </si>
  <si>
    <t>km/hr / knots</t>
  </si>
  <si>
    <t>Knots to m/s</t>
  </si>
  <si>
    <t>m/s / knots</t>
  </si>
  <si>
    <t>km/hr to knots</t>
  </si>
  <si>
    <t>knots / km/hr</t>
  </si>
  <si>
    <t>m/s to knots</t>
  </si>
  <si>
    <t>knots / m/s</t>
  </si>
  <si>
    <t>km/hr to m/s</t>
  </si>
  <si>
    <t>m/s / km/hr</t>
  </si>
  <si>
    <t>m/s to km/hr</t>
  </si>
  <si>
    <t>km/hr / m/s</t>
  </si>
  <si>
    <t>Pounds to Kg</t>
  </si>
  <si>
    <t>Kg / Lb</t>
  </si>
  <si>
    <t>Kg to Pounds</t>
  </si>
  <si>
    <t>Lb / Kg</t>
  </si>
  <si>
    <t>km / smi</t>
  </si>
  <si>
    <t>smi / km</t>
  </si>
  <si>
    <t>Statute Miles to Km</t>
  </si>
  <si>
    <t>Km to Statute Miles</t>
  </si>
  <si>
    <t>Km to nautical miles</t>
  </si>
  <si>
    <t>Nautical miles to km</t>
  </si>
  <si>
    <t>nm / km</t>
  </si>
  <si>
    <t>km / nm</t>
  </si>
  <si>
    <t>smi / nmi</t>
  </si>
  <si>
    <t>Statute miles to nautical miles</t>
  </si>
  <si>
    <t>nmi / smi</t>
  </si>
  <si>
    <t>Polar Analysis Spreadsheet</t>
  </si>
  <si>
    <t>Gallons to Kg</t>
  </si>
  <si>
    <t>kg / gallon</t>
  </si>
  <si>
    <t>Kg to Gallon</t>
  </si>
  <si>
    <t>gallon / kg</t>
  </si>
  <si>
    <t>Lb / gallon</t>
  </si>
  <si>
    <t>Gallons to Pounds</t>
  </si>
  <si>
    <t>Pounds to Gallons</t>
  </si>
  <si>
    <t>gallon / Lb</t>
  </si>
  <si>
    <t>ft / m</t>
  </si>
  <si>
    <t>Meters to Feet</t>
  </si>
  <si>
    <t>Feet to Meters</t>
  </si>
  <si>
    <t>m / ft</t>
  </si>
  <si>
    <t>m</t>
  </si>
  <si>
    <t>Nautical miles to statute miles</t>
  </si>
  <si>
    <t>Feet to Statute Miles</t>
  </si>
  <si>
    <t>Statute Miles to Feet</t>
  </si>
  <si>
    <t>ft / smi</t>
  </si>
  <si>
    <t>smi / ft</t>
  </si>
  <si>
    <t>km</t>
  </si>
  <si>
    <t>For example: Assume you are climbing at 4 m/s.</t>
  </si>
  <si>
    <t>Look-up the altitude required using a MacCready setting of 4.</t>
  </si>
  <si>
    <t>Final Glide Table</t>
  </si>
  <si>
    <t>Optimized for Maximum Distance Over the Ground - MacCready and Speed-to-Fly Adjusted to Account for Wind</t>
  </si>
  <si>
    <t>Optimized for Maximum Speed Around a Course - Airmass Moving with the Wind - MacCready and Speed-to-Fly Not Adjusted to Account for Wind</t>
  </si>
  <si>
    <t>Sailplane Polar Data Available here: www.cumulus-soaring.com/polars.htm</t>
  </si>
  <si>
    <t>DG-1000S</t>
  </si>
  <si>
    <t>N429FH</t>
  </si>
  <si>
    <t>Updated: January 6,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</si>
</sst>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1" x14ac:knownFonts="1">
    <font>
      <sz val="10"/>
      <name val="Arial"/>
    </font>
    <font>
      <sz val="8"/>
      <name val="Arial"/>
    </font>
    <font>
      <b/>
      <sz val="10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0"/>
      <color theme="7"/>
      <name val="Arial"/>
      <family val="2"/>
    </font>
    <font>
      <b/>
      <sz val="10"/>
      <color theme="3"/>
      <name val="Arial"/>
      <family val="2"/>
    </font>
    <font>
      <b/>
      <sz val="10"/>
      <color rgb="FFC00000"/>
      <name val="Arial"/>
      <family val="2"/>
    </font>
    <font>
      <b/>
      <sz val="1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8B8B"/>
        <bgColor indexed="64"/>
      </patternFill>
    </fill>
    <fill>
      <patternFill patternType="solid">
        <fgColor theme="3" tint="0.79998168889431442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1">
    <xf numFmtId="0" fontId="0" fillId="0" borderId="0" xfId="0"/>
    <xf numFmtId="0" fontId="3" fillId="0" borderId="0" xfId="0" applyFont="1"/>
    <xf numFmtId="0" fontId="0" fillId="0" borderId="0" xfId="0" applyAlignment="1">
      <alignment horizontal="center"/>
    </xf>
    <xf numFmtId="0" fontId="0" fillId="0" borderId="1" xfId="0" applyBorder="1"/>
    <xf numFmtId="165" fontId="0" fillId="0" borderId="1" xfId="0" applyNumberFormat="1" applyBorder="1"/>
    <xf numFmtId="164" fontId="0" fillId="0" borderId="1" xfId="0" applyNumberFormat="1" applyBorder="1"/>
    <xf numFmtId="0" fontId="2" fillId="2" borderId="1" xfId="0" applyFont="1" applyFill="1" applyBorder="1"/>
    <xf numFmtId="0" fontId="2" fillId="0" borderId="1" xfId="0" applyFon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" xfId="0" applyFill="1" applyBorder="1"/>
    <xf numFmtId="1" fontId="2" fillId="3" borderId="1" xfId="0" applyNumberFormat="1" applyFont="1" applyFill="1" applyBorder="1"/>
    <xf numFmtId="0" fontId="0" fillId="0" borderId="0" xfId="0" applyBorder="1"/>
    <xf numFmtId="0" fontId="0" fillId="0" borderId="4" xfId="0" applyBorder="1"/>
    <xf numFmtId="0" fontId="0" fillId="0" borderId="3" xfId="0" applyBorder="1"/>
    <xf numFmtId="0" fontId="0" fillId="0" borderId="11" xfId="0" applyBorder="1"/>
    <xf numFmtId="0" fontId="0" fillId="0" borderId="12" xfId="0" applyBorder="1"/>
    <xf numFmtId="0" fontId="2" fillId="3" borderId="2" xfId="0" applyFont="1" applyFill="1" applyBorder="1"/>
    <xf numFmtId="0" fontId="0" fillId="3" borderId="3" xfId="0" applyFill="1" applyBorder="1"/>
    <xf numFmtId="0" fontId="0" fillId="3" borderId="4" xfId="0" applyFill="1" applyBorder="1"/>
    <xf numFmtId="0" fontId="3" fillId="0" borderId="1" xfId="0" applyFont="1" applyBorder="1"/>
    <xf numFmtId="164" fontId="2" fillId="3" borderId="1" xfId="0" applyNumberFormat="1" applyFont="1" applyFill="1" applyBorder="1"/>
    <xf numFmtId="1" fontId="0" fillId="0" borderId="1" xfId="0" applyNumberFormat="1" applyBorder="1"/>
    <xf numFmtId="0" fontId="2" fillId="4" borderId="1" xfId="0" applyFont="1" applyFill="1" applyBorder="1"/>
    <xf numFmtId="0" fontId="2" fillId="5" borderId="2" xfId="0" applyFont="1" applyFill="1" applyBorder="1"/>
    <xf numFmtId="0" fontId="0" fillId="5" borderId="3" xfId="0" applyFill="1" applyBorder="1"/>
    <xf numFmtId="0" fontId="0" fillId="5" borderId="4" xfId="0" applyFill="1" applyBorder="1"/>
    <xf numFmtId="0" fontId="2" fillId="5" borderId="1" xfId="0" applyFont="1" applyFill="1" applyBorder="1"/>
    <xf numFmtId="0" fontId="3" fillId="0" borderId="1" xfId="0" applyFont="1" applyFill="1" applyBorder="1"/>
    <xf numFmtId="0" fontId="3" fillId="0" borderId="13" xfId="0" applyFont="1" applyFill="1" applyBorder="1"/>
    <xf numFmtId="0" fontId="2" fillId="5" borderId="1" xfId="0" applyNumberFormat="1" applyFont="1" applyFill="1" applyBorder="1"/>
    <xf numFmtId="1" fontId="2" fillId="3" borderId="14" xfId="0" applyNumberFormat="1" applyFont="1" applyFill="1" applyBorder="1"/>
    <xf numFmtId="0" fontId="0" fillId="0" borderId="14" xfId="0" applyBorder="1"/>
    <xf numFmtId="0" fontId="0" fillId="6" borderId="3" xfId="0" applyFill="1" applyBorder="1"/>
    <xf numFmtId="0" fontId="0" fillId="6" borderId="4" xfId="0" applyFill="1" applyBorder="1"/>
    <xf numFmtId="165" fontId="0" fillId="0" borderId="8" xfId="0" applyNumberFormat="1" applyBorder="1"/>
    <xf numFmtId="0" fontId="0" fillId="0" borderId="1" xfId="0" quotePrefix="1" applyBorder="1"/>
    <xf numFmtId="0" fontId="0" fillId="0" borderId="15" xfId="0" applyBorder="1"/>
    <xf numFmtId="0" fontId="0" fillId="0" borderId="13" xfId="0" applyFill="1" applyBorder="1"/>
    <xf numFmtId="165" fontId="0" fillId="0" borderId="0" xfId="0" applyNumberFormat="1" applyBorder="1"/>
    <xf numFmtId="0" fontId="0" fillId="0" borderId="2" xfId="0" applyBorder="1"/>
    <xf numFmtId="0" fontId="5" fillId="0" borderId="5" xfId="0" applyFont="1" applyBorder="1" applyAlignment="1" applyProtection="1">
      <alignment horizontal="left"/>
      <protection hidden="1"/>
    </xf>
    <xf numFmtId="0" fontId="5" fillId="0" borderId="0" xfId="0" applyFont="1" applyBorder="1"/>
    <xf numFmtId="0" fontId="6" fillId="0" borderId="0" xfId="0" applyFont="1" applyBorder="1" applyAlignment="1" applyProtection="1">
      <alignment horizontal="left"/>
      <protection hidden="1"/>
    </xf>
    <xf numFmtId="0" fontId="5" fillId="0" borderId="0" xfId="0" applyFont="1" applyBorder="1" applyAlignment="1" applyProtection="1">
      <alignment horizontal="left"/>
      <protection hidden="1"/>
    </xf>
    <xf numFmtId="0" fontId="5" fillId="0" borderId="6" xfId="0" applyFont="1" applyBorder="1" applyAlignment="1">
      <alignment horizontal="left"/>
    </xf>
    <xf numFmtId="0" fontId="5" fillId="0" borderId="6" xfId="0" applyFont="1" applyBorder="1" applyAlignment="1" applyProtection="1">
      <alignment horizontal="left"/>
      <protection hidden="1"/>
    </xf>
    <xf numFmtId="0" fontId="6" fillId="0" borderId="6" xfId="0" applyFont="1" applyBorder="1" applyAlignment="1" applyProtection="1">
      <alignment horizontal="left"/>
      <protection hidden="1"/>
    </xf>
    <xf numFmtId="0" fontId="6" fillId="0" borderId="7" xfId="0" applyFont="1" applyBorder="1" applyAlignment="1" applyProtection="1">
      <alignment horizontal="left"/>
      <protection hidden="1"/>
    </xf>
    <xf numFmtId="0" fontId="5" fillId="0" borderId="11" xfId="0" applyFont="1" applyBorder="1" applyAlignment="1" applyProtection="1">
      <alignment horizontal="left"/>
      <protection hidden="1"/>
    </xf>
    <xf numFmtId="0" fontId="5" fillId="0" borderId="0" xfId="0" applyFont="1" applyBorder="1" applyProtection="1">
      <protection hidden="1"/>
    </xf>
    <xf numFmtId="0" fontId="6" fillId="0" borderId="12" xfId="0" applyFont="1" applyBorder="1" applyAlignment="1" applyProtection="1">
      <alignment horizontal="left"/>
      <protection hidden="1"/>
    </xf>
    <xf numFmtId="0" fontId="5" fillId="0" borderId="11" xfId="0" applyFont="1" applyBorder="1" applyProtection="1">
      <protection hidden="1"/>
    </xf>
    <xf numFmtId="0" fontId="5" fillId="0" borderId="11" xfId="0" applyFont="1" applyBorder="1"/>
    <xf numFmtId="0" fontId="6" fillId="0" borderId="11" xfId="0" applyFont="1" applyBorder="1" applyAlignment="1" applyProtection="1">
      <alignment horizontal="left"/>
      <protection hidden="1"/>
    </xf>
    <xf numFmtId="0" fontId="5" fillId="0" borderId="12" xfId="0" applyFont="1" applyBorder="1"/>
    <xf numFmtId="0" fontId="6" fillId="0" borderId="6" xfId="0" applyFont="1" applyBorder="1" applyAlignment="1" applyProtection="1">
      <alignment horizontal="right"/>
      <protection hidden="1"/>
    </xf>
    <xf numFmtId="0" fontId="5" fillId="0" borderId="6" xfId="0" applyFont="1" applyBorder="1"/>
    <xf numFmtId="0" fontId="5" fillId="0" borderId="8" xfId="0" applyFont="1" applyBorder="1"/>
    <xf numFmtId="0" fontId="5" fillId="0" borderId="9" xfId="0" applyFont="1" applyBorder="1"/>
    <xf numFmtId="0" fontId="5" fillId="0" borderId="16" xfId="0" applyFont="1" applyBorder="1"/>
    <xf numFmtId="0" fontId="5" fillId="0" borderId="17" xfId="0" applyFont="1" applyBorder="1"/>
    <xf numFmtId="0" fontId="6" fillId="0" borderId="14" xfId="0" applyFont="1" applyBorder="1" applyAlignment="1" applyProtection="1">
      <alignment horizontal="center"/>
      <protection hidden="1"/>
    </xf>
    <xf numFmtId="0" fontId="5" fillId="0" borderId="5" xfId="0" applyFont="1" applyBorder="1" applyProtection="1">
      <protection hidden="1"/>
    </xf>
    <xf numFmtId="0" fontId="5" fillId="0" borderId="6" xfId="0" applyFont="1" applyBorder="1" applyProtection="1">
      <protection hidden="1"/>
    </xf>
    <xf numFmtId="0" fontId="5" fillId="0" borderId="7" xfId="0" applyFont="1" applyBorder="1" applyProtection="1">
      <protection hidden="1"/>
    </xf>
    <xf numFmtId="0" fontId="6" fillId="0" borderId="6" xfId="0" applyFont="1" applyBorder="1" applyAlignment="1" applyProtection="1">
      <alignment horizontal="center"/>
      <protection hidden="1"/>
    </xf>
    <xf numFmtId="0" fontId="5" fillId="0" borderId="7" xfId="0" applyFont="1" applyBorder="1" applyAlignment="1" applyProtection="1">
      <alignment horizontal="right"/>
      <protection hidden="1"/>
    </xf>
    <xf numFmtId="0" fontId="6" fillId="0" borderId="14" xfId="0" applyFont="1" applyBorder="1" applyAlignment="1" applyProtection="1">
      <protection hidden="1"/>
    </xf>
    <xf numFmtId="0" fontId="5" fillId="0" borderId="15" xfId="0" applyFont="1" applyBorder="1" applyAlignment="1" applyProtection="1">
      <alignment horizontal="center"/>
      <protection hidden="1"/>
    </xf>
    <xf numFmtId="0" fontId="5" fillId="0" borderId="8" xfId="0" applyFont="1" applyBorder="1" applyProtection="1">
      <protection hidden="1"/>
    </xf>
    <xf numFmtId="0" fontId="5" fillId="0" borderId="9" xfId="0" applyFont="1" applyBorder="1" applyProtection="1">
      <protection hidden="1"/>
    </xf>
    <xf numFmtId="0" fontId="5" fillId="0" borderId="10" xfId="0" applyFont="1" applyBorder="1" applyProtection="1">
      <protection hidden="1"/>
    </xf>
    <xf numFmtId="0" fontId="6" fillId="0" borderId="8" xfId="0" applyFont="1" applyBorder="1" applyAlignment="1" applyProtection="1">
      <alignment horizontal="center"/>
      <protection hidden="1"/>
    </xf>
    <xf numFmtId="0" fontId="6" fillId="0" borderId="9" xfId="0" applyFont="1" applyBorder="1" applyAlignment="1" applyProtection="1">
      <alignment horizontal="center"/>
      <protection hidden="1"/>
    </xf>
    <xf numFmtId="0" fontId="6" fillId="0" borderId="10" xfId="0" applyFont="1" applyBorder="1" applyAlignment="1" applyProtection="1">
      <alignment horizontal="center"/>
      <protection hidden="1"/>
    </xf>
    <xf numFmtId="0" fontId="6" fillId="0" borderId="1" xfId="0" applyFont="1" applyBorder="1" applyAlignment="1" applyProtection="1">
      <protection hidden="1"/>
    </xf>
    <xf numFmtId="0" fontId="6" fillId="0" borderId="5" xfId="0" applyFont="1" applyBorder="1" applyAlignment="1" applyProtection="1">
      <alignment horizontal="right"/>
      <protection hidden="1"/>
    </xf>
    <xf numFmtId="3" fontId="5" fillId="0" borderId="13" xfId="0" applyNumberFormat="1" applyFont="1" applyBorder="1" applyAlignment="1" applyProtection="1">
      <alignment horizontal="right"/>
      <protection hidden="1"/>
    </xf>
    <xf numFmtId="3" fontId="6" fillId="0" borderId="13" xfId="0" applyNumberFormat="1" applyFont="1" applyBorder="1" applyAlignment="1" applyProtection="1">
      <alignment horizontal="right"/>
      <protection hidden="1"/>
    </xf>
    <xf numFmtId="0" fontId="5" fillId="0" borderId="13" xfId="0" applyFont="1" applyBorder="1" applyAlignment="1" applyProtection="1">
      <alignment horizontal="left"/>
      <protection hidden="1"/>
    </xf>
    <xf numFmtId="0" fontId="6" fillId="0" borderId="0" xfId="0" applyFont="1" applyBorder="1" applyAlignment="1" applyProtection="1">
      <alignment horizontal="right"/>
      <protection hidden="1"/>
    </xf>
    <xf numFmtId="0" fontId="5" fillId="0" borderId="12" xfId="0" applyFont="1" applyBorder="1" applyAlignment="1" applyProtection="1">
      <alignment horizontal="right"/>
      <protection hidden="1"/>
    </xf>
    <xf numFmtId="0" fontId="6" fillId="0" borderId="13" xfId="0" applyFont="1" applyBorder="1" applyAlignment="1" applyProtection="1">
      <protection hidden="1"/>
    </xf>
    <xf numFmtId="0" fontId="6" fillId="0" borderId="13" xfId="0" applyFont="1" applyBorder="1" applyAlignment="1" applyProtection="1">
      <alignment horizontal="center"/>
      <protection hidden="1"/>
    </xf>
    <xf numFmtId="0" fontId="5" fillId="0" borderId="5" xfId="0" applyFont="1" applyBorder="1"/>
    <xf numFmtId="0" fontId="6" fillId="0" borderId="7" xfId="0" applyFont="1" applyBorder="1" applyAlignment="1" applyProtection="1">
      <alignment horizontal="right"/>
      <protection hidden="1"/>
    </xf>
    <xf numFmtId="1" fontId="6" fillId="0" borderId="14" xfId="0" applyNumberFormat="1" applyFont="1" applyBorder="1" applyAlignment="1" applyProtection="1">
      <alignment horizontal="right"/>
      <protection hidden="1"/>
    </xf>
    <xf numFmtId="0" fontId="6" fillId="0" borderId="10" xfId="0" applyFont="1" applyBorder="1" applyAlignment="1" applyProtection="1">
      <alignment horizontal="right"/>
      <protection hidden="1"/>
    </xf>
    <xf numFmtId="0" fontId="6" fillId="0" borderId="15" xfId="0" applyFont="1" applyBorder="1" applyAlignment="1" applyProtection="1">
      <protection hidden="1"/>
    </xf>
    <xf numFmtId="0" fontId="5" fillId="0" borderId="13" xfId="0" applyFont="1" applyBorder="1" applyProtection="1">
      <protection hidden="1"/>
    </xf>
    <xf numFmtId="1" fontId="5" fillId="0" borderId="14" xfId="0" applyNumberFormat="1" applyFont="1" applyBorder="1" applyAlignment="1" applyProtection="1">
      <alignment horizontal="right"/>
      <protection hidden="1"/>
    </xf>
    <xf numFmtId="0" fontId="5" fillId="0" borderId="14" xfId="0" applyFont="1" applyBorder="1" applyAlignment="1" applyProtection="1">
      <protection hidden="1"/>
    </xf>
    <xf numFmtId="0" fontId="5" fillId="0" borderId="19" xfId="0" applyFont="1" applyBorder="1" applyProtection="1">
      <protection hidden="1"/>
    </xf>
    <xf numFmtId="0" fontId="5" fillId="0" borderId="18" xfId="0" applyFont="1" applyBorder="1" applyAlignment="1" applyProtection="1">
      <alignment horizontal="right"/>
      <protection hidden="1"/>
    </xf>
    <xf numFmtId="0" fontId="5" fillId="0" borderId="18" xfId="0" applyFont="1" applyBorder="1" applyAlignment="1" applyProtection="1">
      <protection hidden="1"/>
    </xf>
    <xf numFmtId="0" fontId="6" fillId="4" borderId="5" xfId="0" applyFont="1" applyFill="1" applyBorder="1" applyAlignment="1" applyProtection="1">
      <alignment horizontal="center"/>
      <protection hidden="1"/>
    </xf>
    <xf numFmtId="0" fontId="6" fillId="0" borderId="2" xfId="0" applyFont="1" applyBorder="1" applyAlignment="1" applyProtection="1">
      <alignment horizontal="left"/>
      <protection hidden="1"/>
    </xf>
    <xf numFmtId="0" fontId="6" fillId="0" borderId="3" xfId="0" applyFont="1" applyBorder="1" applyAlignment="1" applyProtection="1">
      <alignment horizontal="left"/>
      <protection hidden="1"/>
    </xf>
    <xf numFmtId="0" fontId="6" fillId="0" borderId="3" xfId="0" applyFont="1" applyBorder="1" applyAlignment="1" applyProtection="1">
      <alignment horizontal="right"/>
      <protection hidden="1"/>
    </xf>
    <xf numFmtId="0" fontId="5" fillId="0" borderId="3" xfId="0" applyFont="1" applyBorder="1"/>
    <xf numFmtId="0" fontId="5" fillId="0" borderId="3" xfId="0" applyFont="1" applyBorder="1" applyAlignment="1" applyProtection="1">
      <alignment horizontal="left"/>
      <protection hidden="1"/>
    </xf>
    <xf numFmtId="0" fontId="6" fillId="0" borderId="4" xfId="0" applyFont="1" applyBorder="1" applyAlignment="1" applyProtection="1">
      <alignment horizontal="left"/>
      <protection hidden="1"/>
    </xf>
    <xf numFmtId="0" fontId="6" fillId="0" borderId="2" xfId="0" applyFont="1" applyBorder="1" applyProtection="1">
      <protection hidden="1"/>
    </xf>
    <xf numFmtId="0" fontId="6" fillId="0" borderId="3" xfId="0" applyFont="1" applyBorder="1"/>
    <xf numFmtId="0" fontId="6" fillId="0" borderId="4" xfId="0" applyFont="1" applyBorder="1"/>
    <xf numFmtId="0" fontId="5" fillId="4" borderId="8" xfId="0" applyFont="1" applyFill="1" applyBorder="1"/>
    <xf numFmtId="0" fontId="6" fillId="4" borderId="1" xfId="0" applyFont="1" applyFill="1" applyBorder="1" applyAlignment="1" applyProtection="1">
      <alignment horizontal="right"/>
      <protection locked="0" hidden="1"/>
    </xf>
    <xf numFmtId="1" fontId="0" fillId="5" borderId="1" xfId="0" applyNumberFormat="1" applyFill="1" applyBorder="1"/>
    <xf numFmtId="0" fontId="2" fillId="2" borderId="13" xfId="0" applyFont="1" applyFill="1" applyBorder="1"/>
    <xf numFmtId="0" fontId="0" fillId="0" borderId="13" xfId="0" applyFont="1" applyFill="1" applyBorder="1"/>
    <xf numFmtId="0" fontId="3" fillId="0" borderId="15" xfId="0" applyFont="1" applyBorder="1"/>
    <xf numFmtId="0" fontId="2" fillId="7" borderId="1" xfId="0" applyFont="1" applyFill="1" applyBorder="1"/>
    <xf numFmtId="0" fontId="2" fillId="7" borderId="15" xfId="0" applyFont="1" applyFill="1" applyBorder="1"/>
    <xf numFmtId="0" fontId="2" fillId="0" borderId="15" xfId="0" applyFont="1" applyBorder="1"/>
    <xf numFmtId="0" fontId="2" fillId="8" borderId="1" xfId="0" applyFont="1" applyFill="1" applyBorder="1"/>
    <xf numFmtId="0" fontId="2" fillId="7" borderId="14" xfId="0" applyFont="1" applyFill="1" applyBorder="1"/>
    <xf numFmtId="0" fontId="2" fillId="8" borderId="15" xfId="0" applyFont="1" applyFill="1" applyBorder="1"/>
    <xf numFmtId="165" fontId="0" fillId="0" borderId="15" xfId="0" applyNumberFormat="1" applyBorder="1"/>
    <xf numFmtId="0" fontId="3" fillId="8" borderId="3" xfId="0" applyFont="1" applyFill="1" applyBorder="1"/>
    <xf numFmtId="0" fontId="2" fillId="9" borderId="1" xfId="0" applyFont="1" applyFill="1" applyBorder="1"/>
    <xf numFmtId="0" fontId="2" fillId="0" borderId="14" xfId="0" applyFont="1" applyBorder="1"/>
    <xf numFmtId="0" fontId="2" fillId="9" borderId="15" xfId="0" applyFont="1" applyFill="1" applyBorder="1"/>
    <xf numFmtId="0" fontId="0" fillId="9" borderId="3" xfId="0" applyFill="1" applyBorder="1"/>
    <xf numFmtId="0" fontId="0" fillId="5" borderId="21" xfId="0" applyFill="1" applyBorder="1"/>
    <xf numFmtId="165" fontId="2" fillId="5" borderId="11" xfId="0" applyNumberFormat="1" applyFont="1" applyFill="1" applyBorder="1"/>
    <xf numFmtId="165" fontId="0" fillId="5" borderId="1" xfId="0" applyNumberFormat="1" applyFill="1" applyBorder="1"/>
    <xf numFmtId="0" fontId="0" fillId="5" borderId="1" xfId="0" applyFill="1" applyBorder="1"/>
    <xf numFmtId="0" fontId="2" fillId="0" borderId="22" xfId="0" applyFont="1" applyBorder="1" applyAlignment="1">
      <alignment vertical="center" wrapText="1"/>
    </xf>
    <xf numFmtId="0" fontId="0" fillId="5" borderId="23" xfId="0" applyFill="1" applyBorder="1"/>
    <xf numFmtId="0" fontId="0" fillId="0" borderId="1" xfId="0" applyBorder="1" applyAlignment="1">
      <alignment horizontal="center" vertical="center"/>
    </xf>
    <xf numFmtId="2" fontId="2" fillId="5" borderId="1" xfId="0" applyNumberFormat="1" applyFont="1" applyFill="1" applyBorder="1"/>
    <xf numFmtId="165" fontId="3" fillId="0" borderId="1" xfId="0" applyNumberFormat="1" applyFont="1" applyBorder="1"/>
    <xf numFmtId="0" fontId="3" fillId="0" borderId="11" xfId="0" applyFont="1" applyFill="1" applyBorder="1"/>
    <xf numFmtId="164" fontId="2" fillId="0" borderId="1" xfId="0" applyNumberFormat="1" applyFont="1" applyBorder="1"/>
    <xf numFmtId="0" fontId="3" fillId="8" borderId="1" xfId="0" applyFont="1" applyFill="1" applyBorder="1"/>
    <xf numFmtId="0" fontId="3" fillId="8" borderId="14" xfId="0" applyFont="1" applyFill="1" applyBorder="1"/>
    <xf numFmtId="1" fontId="2" fillId="5" borderId="1" xfId="0" applyNumberFormat="1" applyFont="1" applyFill="1" applyBorder="1"/>
    <xf numFmtId="165" fontId="2" fillId="5" borderId="1" xfId="0" applyNumberFormat="1" applyFont="1" applyFill="1" applyBorder="1"/>
    <xf numFmtId="0" fontId="2" fillId="2" borderId="15" xfId="0" applyFont="1" applyFill="1" applyBorder="1" applyAlignment="1">
      <alignment horizontal="right"/>
    </xf>
    <xf numFmtId="0" fontId="2" fillId="4" borderId="2" xfId="0" applyFont="1" applyFill="1" applyBorder="1" applyAlignment="1">
      <alignment horizontal="left"/>
    </xf>
    <xf numFmtId="0" fontId="0" fillId="4" borderId="3" xfId="0" applyFill="1" applyBorder="1"/>
    <xf numFmtId="0" fontId="0" fillId="4" borderId="4" xfId="0" applyFill="1" applyBorder="1"/>
    <xf numFmtId="0" fontId="2" fillId="10" borderId="5" xfId="0" applyFont="1" applyFill="1" applyBorder="1"/>
    <xf numFmtId="0" fontId="0" fillId="10" borderId="6" xfId="0" applyFill="1" applyBorder="1"/>
    <xf numFmtId="0" fontId="0" fillId="10" borderId="7" xfId="0" applyFill="1" applyBorder="1"/>
    <xf numFmtId="0" fontId="3" fillId="10" borderId="11" xfId="0" applyFont="1" applyFill="1" applyBorder="1"/>
    <xf numFmtId="0" fontId="0" fillId="10" borderId="0" xfId="0" applyFill="1" applyBorder="1"/>
    <xf numFmtId="0" fontId="0" fillId="10" borderId="12" xfId="0" applyFill="1" applyBorder="1"/>
    <xf numFmtId="0" fontId="2" fillId="7" borderId="24" xfId="0" applyFont="1" applyFill="1" applyBorder="1"/>
    <xf numFmtId="0" fontId="0" fillId="7" borderId="25" xfId="0" applyFill="1" applyBorder="1"/>
    <xf numFmtId="0" fontId="0" fillId="7" borderId="26" xfId="0" applyFill="1" applyBorder="1"/>
    <xf numFmtId="0" fontId="3" fillId="0" borderId="27" xfId="0" applyFont="1" applyBorder="1"/>
    <xf numFmtId="0" fontId="0" fillId="0" borderId="28" xfId="0" applyBorder="1"/>
    <xf numFmtId="0" fontId="3" fillId="0" borderId="29" xfId="0" applyFont="1" applyBorder="1"/>
    <xf numFmtId="0" fontId="0" fillId="0" borderId="30" xfId="0" applyBorder="1"/>
    <xf numFmtId="0" fontId="3" fillId="0" borderId="31" xfId="0" applyFont="1" applyBorder="1"/>
    <xf numFmtId="0" fontId="0" fillId="0" borderId="32" xfId="0" applyBorder="1"/>
    <xf numFmtId="0" fontId="2" fillId="8" borderId="33" xfId="0" applyFont="1" applyFill="1" applyBorder="1"/>
    <xf numFmtId="0" fontId="3" fillId="8" borderId="34" xfId="0" applyFont="1" applyFill="1" applyBorder="1"/>
    <xf numFmtId="0" fontId="2" fillId="9" borderId="33" xfId="0" applyFont="1" applyFill="1" applyBorder="1"/>
    <xf numFmtId="0" fontId="0" fillId="9" borderId="34" xfId="0" applyFill="1" applyBorder="1"/>
    <xf numFmtId="0" fontId="0" fillId="0" borderId="35" xfId="0" applyBorder="1"/>
    <xf numFmtId="0" fontId="0" fillId="0" borderId="36" xfId="0" applyBorder="1"/>
    <xf numFmtId="0" fontId="3" fillId="0" borderId="37" xfId="0" applyFont="1" applyBorder="1"/>
    <xf numFmtId="0" fontId="2" fillId="9" borderId="38" xfId="0" applyFont="1" applyFill="1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2" fillId="2" borderId="20" xfId="0" applyFont="1" applyFill="1" applyBorder="1" applyAlignment="1">
      <alignment horizontal="center" vertical="center"/>
    </xf>
    <xf numFmtId="0" fontId="2" fillId="5" borderId="22" xfId="0" applyFont="1" applyFill="1" applyBorder="1" applyAlignment="1">
      <alignment vertical="center"/>
    </xf>
    <xf numFmtId="0" fontId="2" fillId="6" borderId="2" xfId="0" applyFont="1" applyFill="1" applyBorder="1"/>
    <xf numFmtId="1" fontId="0" fillId="5" borderId="14" xfId="0" applyNumberFormat="1" applyFill="1" applyBorder="1"/>
    <xf numFmtId="1" fontId="6" fillId="0" borderId="14" xfId="0" applyNumberFormat="1" applyFont="1" applyFill="1" applyBorder="1" applyAlignment="1" applyProtection="1">
      <alignment horizontal="right"/>
      <protection hidden="1"/>
    </xf>
    <xf numFmtId="1" fontId="6" fillId="5" borderId="14" xfId="0" applyNumberFormat="1" applyFont="1" applyFill="1" applyBorder="1" applyAlignment="1" applyProtection="1">
      <alignment horizontal="right"/>
      <protection hidden="1"/>
    </xf>
    <xf numFmtId="2" fontId="0" fillId="0" borderId="1" xfId="0" applyNumberFormat="1" applyBorder="1"/>
    <xf numFmtId="1" fontId="2" fillId="5" borderId="15" xfId="0" applyNumberFormat="1" applyFont="1" applyFill="1" applyBorder="1"/>
    <xf numFmtId="0" fontId="2" fillId="4" borderId="43" xfId="0" applyFont="1" applyFill="1" applyBorder="1"/>
    <xf numFmtId="0" fontId="0" fillId="0" borderId="43" xfId="0" applyBorder="1"/>
    <xf numFmtId="0" fontId="0" fillId="0" borderId="44" xfId="0" applyBorder="1"/>
    <xf numFmtId="165" fontId="0" fillId="0" borderId="43" xfId="0" applyNumberFormat="1" applyBorder="1"/>
    <xf numFmtId="0" fontId="0" fillId="0" borderId="45" xfId="0" applyBorder="1"/>
    <xf numFmtId="0" fontId="2" fillId="4" borderId="47" xfId="0" applyFont="1" applyFill="1" applyBorder="1"/>
    <xf numFmtId="0" fontId="0" fillId="0" borderId="47" xfId="0" applyBorder="1"/>
    <xf numFmtId="165" fontId="0" fillId="0" borderId="38" xfId="0" applyNumberFormat="1" applyBorder="1"/>
    <xf numFmtId="0" fontId="0" fillId="0" borderId="48" xfId="0" applyBorder="1"/>
    <xf numFmtId="165" fontId="6" fillId="0" borderId="15" xfId="0" applyNumberFormat="1" applyFont="1" applyBorder="1" applyAlignment="1" applyProtection="1">
      <alignment horizontal="right"/>
      <protection hidden="1"/>
    </xf>
    <xf numFmtId="165" fontId="5" fillId="0" borderId="19" xfId="0" applyNumberFormat="1" applyFont="1" applyBorder="1" applyAlignment="1" applyProtection="1">
      <alignment horizontal="right"/>
      <protection hidden="1"/>
    </xf>
    <xf numFmtId="0" fontId="6" fillId="0" borderId="0" xfId="0" applyFont="1" applyBorder="1"/>
    <xf numFmtId="0" fontId="6" fillId="0" borderId="0" xfId="0" applyFont="1" applyBorder="1" applyAlignment="1" applyProtection="1">
      <protection hidden="1"/>
    </xf>
    <xf numFmtId="0" fontId="5" fillId="0" borderId="0" xfId="0" applyFont="1" applyBorder="1" applyAlignment="1" applyProtection="1">
      <protection hidden="1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3" xfId="0" applyBorder="1" applyAlignment="1">
      <alignment horizontal="center"/>
    </xf>
    <xf numFmtId="0" fontId="2" fillId="0" borderId="42" xfId="0" applyFont="1" applyBorder="1"/>
    <xf numFmtId="0" fontId="2" fillId="0" borderId="29" xfId="0" applyFont="1" applyBorder="1"/>
    <xf numFmtId="0" fontId="2" fillId="0" borderId="46" xfId="0" applyFont="1" applyBorder="1"/>
    <xf numFmtId="165" fontId="2" fillId="0" borderId="1" xfId="0" applyNumberFormat="1" applyFont="1" applyBorder="1"/>
    <xf numFmtId="0" fontId="5" fillId="0" borderId="0" xfId="0" applyFont="1" applyBorder="1" applyAlignment="1">
      <alignment horizontal="left"/>
    </xf>
    <xf numFmtId="0" fontId="4" fillId="6" borderId="5" xfId="0" applyFont="1" applyFill="1" applyBorder="1" applyAlignment="1" applyProtection="1">
      <alignment horizontal="centerContinuous"/>
      <protection hidden="1"/>
    </xf>
    <xf numFmtId="0" fontId="2" fillId="6" borderId="6" xfId="0" applyFont="1" applyFill="1" applyBorder="1" applyAlignment="1" applyProtection="1">
      <alignment horizontal="centerContinuous"/>
      <protection hidden="1"/>
    </xf>
    <xf numFmtId="0" fontId="2" fillId="6" borderId="7" xfId="0" applyFont="1" applyFill="1" applyBorder="1" applyAlignment="1" applyProtection="1">
      <alignment horizontal="centerContinuous"/>
      <protection hidden="1"/>
    </xf>
    <xf numFmtId="0" fontId="2" fillId="0" borderId="0" xfId="0" applyFont="1" applyFill="1" applyBorder="1" applyAlignment="1" applyProtection="1">
      <alignment horizontal="centerContinuous"/>
      <protection hidden="1"/>
    </xf>
    <xf numFmtId="165" fontId="5" fillId="0" borderId="15" xfId="0" applyNumberFormat="1" applyFont="1" applyBorder="1" applyAlignment="1" applyProtection="1">
      <alignment horizontal="right"/>
      <protection hidden="1"/>
    </xf>
    <xf numFmtId="0" fontId="2" fillId="0" borderId="49" xfId="0" applyFont="1" applyBorder="1"/>
    <xf numFmtId="0" fontId="0" fillId="0" borderId="50" xfId="0" applyBorder="1"/>
    <xf numFmtId="0" fontId="2" fillId="0" borderId="51" xfId="0" applyFont="1" applyBorder="1"/>
    <xf numFmtId="0" fontId="0" fillId="0" borderId="51" xfId="0" applyBorder="1"/>
    <xf numFmtId="0" fontId="3" fillId="0" borderId="52" xfId="0" applyFont="1" applyBorder="1"/>
    <xf numFmtId="0" fontId="2" fillId="2" borderId="22" xfId="0" applyFont="1" applyFill="1" applyBorder="1"/>
    <xf numFmtId="0" fontId="0" fillId="2" borderId="21" xfId="0" applyFill="1" applyBorder="1"/>
    <xf numFmtId="0" fontId="2" fillId="5" borderId="53" xfId="0" applyFont="1" applyFill="1" applyBorder="1"/>
    <xf numFmtId="0" fontId="2" fillId="5" borderId="21" xfId="0" applyFont="1" applyFill="1" applyBorder="1"/>
    <xf numFmtId="0" fontId="2" fillId="5" borderId="23" xfId="0" applyFont="1" applyFill="1" applyBorder="1"/>
    <xf numFmtId="0" fontId="3" fillId="0" borderId="51" xfId="0" applyFont="1" applyBorder="1"/>
    <xf numFmtId="0" fontId="6" fillId="6" borderId="8" xfId="0" applyFont="1" applyFill="1" applyBorder="1" applyAlignment="1">
      <alignment horizontal="center"/>
    </xf>
    <xf numFmtId="0" fontId="6" fillId="6" borderId="9" xfId="0" applyFont="1" applyFill="1" applyBorder="1" applyAlignment="1">
      <alignment horizontal="center"/>
    </xf>
    <xf numFmtId="0" fontId="6" fillId="6" borderId="10" xfId="0" applyFont="1" applyFill="1" applyBorder="1" applyAlignment="1">
      <alignment horizontal="center"/>
    </xf>
    <xf numFmtId="0" fontId="6" fillId="6" borderId="11" xfId="0" applyFont="1" applyFill="1" applyBorder="1" applyAlignment="1">
      <alignment horizontal="center"/>
    </xf>
    <xf numFmtId="0" fontId="6" fillId="6" borderId="0" xfId="0" applyFont="1" applyFill="1" applyBorder="1" applyAlignment="1">
      <alignment horizontal="center"/>
    </xf>
    <xf numFmtId="0" fontId="6" fillId="6" borderId="12" xfId="0" applyFont="1" applyFill="1" applyBorder="1" applyAlignment="1">
      <alignment horizontal="center"/>
    </xf>
    <xf numFmtId="0" fontId="4" fillId="6" borderId="5" xfId="0" applyFont="1" applyFill="1" applyBorder="1" applyAlignment="1" applyProtection="1">
      <alignment horizontal="center"/>
      <protection hidden="1"/>
    </xf>
    <xf numFmtId="0" fontId="4" fillId="6" borderId="6" xfId="0" applyFont="1" applyFill="1" applyBorder="1" applyAlignment="1" applyProtection="1">
      <alignment horizontal="center"/>
      <protection hidden="1"/>
    </xf>
    <xf numFmtId="0" fontId="4" fillId="6" borderId="7" xfId="0" applyFont="1" applyFill="1" applyBorder="1" applyAlignment="1" applyProtection="1">
      <alignment horizontal="center"/>
      <protection hidden="1"/>
    </xf>
    <xf numFmtId="0" fontId="10" fillId="6" borderId="11" xfId="0" applyFont="1" applyFill="1" applyBorder="1" applyAlignment="1">
      <alignment horizontal="center"/>
    </xf>
    <xf numFmtId="0" fontId="10" fillId="6" borderId="0" xfId="0" applyFont="1" applyFill="1" applyBorder="1" applyAlignment="1">
      <alignment horizontal="center"/>
    </xf>
    <xf numFmtId="0" fontId="10" fillId="6" borderId="1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FF00"/>
      <color rgb="FF66FF66"/>
      <color rgb="FFFF8B8B"/>
      <color rgb="FFFF0D0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Polar Plot</a:t>
            </a:r>
          </a:p>
        </c:rich>
      </c:tx>
      <c:layout>
        <c:manualLayout>
          <c:xMode val="edge"/>
          <c:yMode val="edge"/>
          <c:x val="0.44694981983184306"/>
          <c:y val="3.08009653155771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228169960840342E-2"/>
          <c:y val="0.12420150706968081"/>
          <c:w val="0.88328969667612356"/>
          <c:h val="0.790773722883748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Sheet1!$CM$3:$CM$253</c:f>
              <c:numCache>
                <c:formatCode>General</c:formatCode>
                <c:ptCount val="2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</c:numCache>
            </c:numRef>
          </c:xVal>
          <c:yVal>
            <c:numRef>
              <c:f>Sheet1!$CN$3:$CN$253</c:f>
              <c:numCache>
                <c:formatCode>General</c:formatCode>
                <c:ptCount val="251"/>
                <c:pt idx="0">
                  <c:v>-2.6735110471594723</c:v>
                </c:pt>
                <c:pt idx="1">
                  <c:v>-2.6283760935744769</c:v>
                </c:pt>
                <c:pt idx="2">
                  <c:v>-2.5837331483027826</c:v>
                </c:pt>
                <c:pt idx="3">
                  <c:v>-2.5395822113443907</c:v>
                </c:pt>
                <c:pt idx="4">
                  <c:v>-2.4959232826993003</c:v>
                </c:pt>
                <c:pt idx="5">
                  <c:v>-2.4527563623675119</c:v>
                </c:pt>
                <c:pt idx="6">
                  <c:v>-2.4100814503490251</c:v>
                </c:pt>
                <c:pt idx="7">
                  <c:v>-2.3678985466438403</c:v>
                </c:pt>
                <c:pt idx="8">
                  <c:v>-2.3262076512519569</c:v>
                </c:pt>
                <c:pt idx="9">
                  <c:v>-2.2850087641733761</c:v>
                </c:pt>
                <c:pt idx="10">
                  <c:v>-2.2443018854080967</c:v>
                </c:pt>
                <c:pt idx="11">
                  <c:v>-2.2040870149561194</c:v>
                </c:pt>
                <c:pt idx="12">
                  <c:v>-2.1643641528174435</c:v>
                </c:pt>
                <c:pt idx="13">
                  <c:v>-2.1251332989920697</c:v>
                </c:pt>
                <c:pt idx="14">
                  <c:v>-2.0863944534799974</c:v>
                </c:pt>
                <c:pt idx="15">
                  <c:v>-2.0481476162812271</c:v>
                </c:pt>
                <c:pt idx="16">
                  <c:v>-2.0103927873957592</c:v>
                </c:pt>
                <c:pt idx="17">
                  <c:v>-1.9731299668235927</c:v>
                </c:pt>
                <c:pt idx="18">
                  <c:v>-1.9363591545647276</c:v>
                </c:pt>
                <c:pt idx="19">
                  <c:v>-1.9000803506191648</c:v>
                </c:pt>
                <c:pt idx="20">
                  <c:v>-1.8642935549869035</c:v>
                </c:pt>
                <c:pt idx="21">
                  <c:v>-1.8289987676679444</c:v>
                </c:pt>
                <c:pt idx="22">
                  <c:v>-1.7941959886622871</c:v>
                </c:pt>
                <c:pt idx="23">
                  <c:v>-1.7598852179699316</c:v>
                </c:pt>
                <c:pt idx="24">
                  <c:v>-1.7260664555908778</c:v>
                </c:pt>
                <c:pt idx="25">
                  <c:v>-1.692739701525126</c:v>
                </c:pt>
                <c:pt idx="26">
                  <c:v>-1.6599049557726757</c:v>
                </c:pt>
                <c:pt idx="27">
                  <c:v>-1.6275622183335272</c:v>
                </c:pt>
                <c:pt idx="28">
                  <c:v>-1.5957114892076809</c:v>
                </c:pt>
                <c:pt idx="29">
                  <c:v>-1.5643527683951364</c:v>
                </c:pt>
                <c:pt idx="30">
                  <c:v>-1.5334860558958936</c:v>
                </c:pt>
                <c:pt idx="31">
                  <c:v>-1.5031113517099526</c:v>
                </c:pt>
                <c:pt idx="32">
                  <c:v>-1.4732286558373133</c:v>
                </c:pt>
                <c:pt idx="33">
                  <c:v>-1.4438379682779761</c:v>
                </c:pt>
                <c:pt idx="34">
                  <c:v>-1.4149392890319406</c:v>
                </c:pt>
                <c:pt idx="35">
                  <c:v>-1.386532618099207</c:v>
                </c:pt>
                <c:pt idx="36">
                  <c:v>-1.358617955479775</c:v>
                </c:pt>
                <c:pt idx="37">
                  <c:v>-1.3311953011736453</c:v>
                </c:pt>
                <c:pt idx="38">
                  <c:v>-1.3042646551808168</c:v>
                </c:pt>
                <c:pt idx="39">
                  <c:v>-1.2778260175012905</c:v>
                </c:pt>
                <c:pt idx="40">
                  <c:v>-1.2518793881350661</c:v>
                </c:pt>
                <c:pt idx="41">
                  <c:v>-1.2264247670821435</c:v>
                </c:pt>
                <c:pt idx="42">
                  <c:v>-1.2014621543425226</c:v>
                </c:pt>
                <c:pt idx="43">
                  <c:v>-1.1769915499162031</c:v>
                </c:pt>
                <c:pt idx="44">
                  <c:v>-1.1530129538031861</c:v>
                </c:pt>
                <c:pt idx="45">
                  <c:v>-1.1295263660034709</c:v>
                </c:pt>
                <c:pt idx="46">
                  <c:v>-1.1065317865170572</c:v>
                </c:pt>
                <c:pt idx="47">
                  <c:v>-1.0840292153439455</c:v>
                </c:pt>
                <c:pt idx="48">
                  <c:v>-1.0620186524841355</c:v>
                </c:pt>
                <c:pt idx="49">
                  <c:v>-1.0405000979376275</c:v>
                </c:pt>
                <c:pt idx="50">
                  <c:v>-1.0194735517044216</c:v>
                </c:pt>
                <c:pt idx="51">
                  <c:v>-0.99893901378451666</c:v>
                </c:pt>
                <c:pt idx="52">
                  <c:v>-0.97889648417791419</c:v>
                </c:pt>
                <c:pt idx="53">
                  <c:v>-0.9593459628846136</c:v>
                </c:pt>
                <c:pt idx="54">
                  <c:v>-0.94028744990461444</c:v>
                </c:pt>
                <c:pt idx="55">
                  <c:v>-0.92172094523791748</c:v>
                </c:pt>
                <c:pt idx="56">
                  <c:v>-0.90364644888452228</c:v>
                </c:pt>
                <c:pt idx="57">
                  <c:v>-0.88606396084442829</c:v>
                </c:pt>
                <c:pt idx="58">
                  <c:v>-0.86897348111763706</c:v>
                </c:pt>
                <c:pt idx="59">
                  <c:v>-0.85237500970414737</c:v>
                </c:pt>
                <c:pt idx="60">
                  <c:v>-0.83626854660395888</c:v>
                </c:pt>
                <c:pt idx="61">
                  <c:v>-0.82065409181707305</c:v>
                </c:pt>
                <c:pt idx="62">
                  <c:v>-0.80553164534348909</c:v>
                </c:pt>
                <c:pt idx="63">
                  <c:v>-0.790901207183206</c:v>
                </c:pt>
                <c:pt idx="64">
                  <c:v>-0.77676277733622567</c:v>
                </c:pt>
                <c:pt idx="65">
                  <c:v>-0.76311635580254689</c:v>
                </c:pt>
                <c:pt idx="66">
                  <c:v>-0.74996194258216953</c:v>
                </c:pt>
                <c:pt idx="67">
                  <c:v>-0.73729953767509471</c:v>
                </c:pt>
                <c:pt idx="68">
                  <c:v>-0.72512914108132132</c:v>
                </c:pt>
                <c:pt idx="69">
                  <c:v>-0.71345075280084946</c:v>
                </c:pt>
                <c:pt idx="70">
                  <c:v>-0.70226437283368004</c:v>
                </c:pt>
                <c:pt idx="71">
                  <c:v>-0.69157000117981215</c:v>
                </c:pt>
                <c:pt idx="72">
                  <c:v>-0.68136763783924603</c:v>
                </c:pt>
                <c:pt idx="73">
                  <c:v>-0.67165728281198178</c:v>
                </c:pt>
                <c:pt idx="74">
                  <c:v>-0.66243893609801963</c:v>
                </c:pt>
                <c:pt idx="75">
                  <c:v>-0.65371259769735868</c:v>
                </c:pt>
                <c:pt idx="76">
                  <c:v>-0.64547826761000016</c:v>
                </c:pt>
                <c:pt idx="77">
                  <c:v>-0.6377359458359434</c:v>
                </c:pt>
                <c:pt idx="78">
                  <c:v>-0.63048563237518784</c:v>
                </c:pt>
                <c:pt idx="79">
                  <c:v>-0.62372732722773483</c:v>
                </c:pt>
                <c:pt idx="80">
                  <c:v>-0.61746103039358313</c:v>
                </c:pt>
                <c:pt idx="81">
                  <c:v>-0.61168674187273375</c:v>
                </c:pt>
                <c:pt idx="82">
                  <c:v>-0.60640446166518591</c:v>
                </c:pt>
                <c:pt idx="83">
                  <c:v>-0.60161418977093983</c:v>
                </c:pt>
                <c:pt idx="84">
                  <c:v>-0.59731592618999574</c:v>
                </c:pt>
                <c:pt idx="85">
                  <c:v>-0.59350967092235363</c:v>
                </c:pt>
                <c:pt idx="86">
                  <c:v>-0.59019542396801283</c:v>
                </c:pt>
                <c:pt idx="87">
                  <c:v>-0.58737318532697447</c:v>
                </c:pt>
                <c:pt idx="88">
                  <c:v>-0.58504295499923775</c:v>
                </c:pt>
                <c:pt idx="89">
                  <c:v>-0.58320473298480235</c:v>
                </c:pt>
                <c:pt idx="90">
                  <c:v>-0.58185851928366938</c:v>
                </c:pt>
                <c:pt idx="91">
                  <c:v>-0.58100431389583818</c:v>
                </c:pt>
                <c:pt idx="92">
                  <c:v>-0.58064211682130851</c:v>
                </c:pt>
                <c:pt idx="93">
                  <c:v>-0.58077192806008104</c:v>
                </c:pt>
                <c:pt idx="94">
                  <c:v>-0.58139374761215534</c:v>
                </c:pt>
                <c:pt idx="95">
                  <c:v>-0.58250757547753085</c:v>
                </c:pt>
                <c:pt idx="96">
                  <c:v>-0.58411341165620878</c:v>
                </c:pt>
                <c:pt idx="97">
                  <c:v>-0.58621125614818881</c:v>
                </c:pt>
                <c:pt idx="98">
                  <c:v>-0.58880110895346993</c:v>
                </c:pt>
                <c:pt idx="99">
                  <c:v>-0.59188297007205337</c:v>
                </c:pt>
                <c:pt idx="100">
                  <c:v>-0.59545683950393857</c:v>
                </c:pt>
                <c:pt idx="101">
                  <c:v>-0.59952271724912554</c:v>
                </c:pt>
                <c:pt idx="102">
                  <c:v>-0.60408060330761371</c:v>
                </c:pt>
                <c:pt idx="103">
                  <c:v>-0.60913049767940453</c:v>
                </c:pt>
                <c:pt idx="104">
                  <c:v>-0.61467240036449711</c:v>
                </c:pt>
                <c:pt idx="105">
                  <c:v>-0.62070631136289156</c:v>
                </c:pt>
                <c:pt idx="106">
                  <c:v>-0.62723223067458755</c:v>
                </c:pt>
                <c:pt idx="107">
                  <c:v>-0.63425015829958542</c:v>
                </c:pt>
                <c:pt idx="108">
                  <c:v>-0.64176009423788449</c:v>
                </c:pt>
                <c:pt idx="109">
                  <c:v>-0.64976203848948633</c:v>
                </c:pt>
                <c:pt idx="110">
                  <c:v>-0.65825599105438981</c:v>
                </c:pt>
                <c:pt idx="111">
                  <c:v>-0.66724195193259506</c:v>
                </c:pt>
                <c:pt idx="112">
                  <c:v>-0.67671992112410262</c:v>
                </c:pt>
                <c:pt idx="113">
                  <c:v>-0.68668989862891139</c:v>
                </c:pt>
                <c:pt idx="114">
                  <c:v>-0.69715188444702136</c:v>
                </c:pt>
                <c:pt idx="115">
                  <c:v>-0.7081058785784341</c:v>
                </c:pt>
                <c:pt idx="116">
                  <c:v>-0.71955188102314849</c:v>
                </c:pt>
                <c:pt idx="117">
                  <c:v>-0.73148989178116464</c:v>
                </c:pt>
                <c:pt idx="118">
                  <c:v>-0.7439199108524831</c:v>
                </c:pt>
                <c:pt idx="119">
                  <c:v>-0.75684193823710322</c:v>
                </c:pt>
                <c:pt idx="120">
                  <c:v>-0.77025597393502365</c:v>
                </c:pt>
                <c:pt idx="121">
                  <c:v>-0.78416201794624774</c:v>
                </c:pt>
                <c:pt idx="122">
                  <c:v>-0.79856007027077314</c:v>
                </c:pt>
                <c:pt idx="123">
                  <c:v>-0.81345013090860019</c:v>
                </c:pt>
                <c:pt idx="124">
                  <c:v>-0.82883219985972956</c:v>
                </c:pt>
                <c:pt idx="125">
                  <c:v>-0.84470627712416069</c:v>
                </c:pt>
                <c:pt idx="126">
                  <c:v>-0.86107236270189247</c:v>
                </c:pt>
                <c:pt idx="127">
                  <c:v>-0.87793045659292701</c:v>
                </c:pt>
                <c:pt idx="128">
                  <c:v>-0.89528055879726332</c:v>
                </c:pt>
                <c:pt idx="129">
                  <c:v>-0.91312266931490182</c:v>
                </c:pt>
                <c:pt idx="130">
                  <c:v>-0.93145678814584154</c:v>
                </c:pt>
                <c:pt idx="131">
                  <c:v>-0.95028291529008257</c:v>
                </c:pt>
                <c:pt idx="132">
                  <c:v>-0.96960105074762626</c:v>
                </c:pt>
                <c:pt idx="133">
                  <c:v>-0.9894111945184717</c:v>
                </c:pt>
                <c:pt idx="134">
                  <c:v>-1.0097133466026194</c:v>
                </c:pt>
                <c:pt idx="135">
                  <c:v>-1.0305075070000684</c:v>
                </c:pt>
                <c:pt idx="136">
                  <c:v>-1.0517936757108195</c:v>
                </c:pt>
                <c:pt idx="137">
                  <c:v>-1.0735718527348714</c:v>
                </c:pt>
                <c:pt idx="138">
                  <c:v>-1.095842038072226</c:v>
                </c:pt>
                <c:pt idx="139">
                  <c:v>-1.1186042317228824</c:v>
                </c:pt>
                <c:pt idx="140">
                  <c:v>-1.1418584336868416</c:v>
                </c:pt>
                <c:pt idx="141">
                  <c:v>-1.1656046439641015</c:v>
                </c:pt>
                <c:pt idx="142">
                  <c:v>-1.1898428625546629</c:v>
                </c:pt>
                <c:pt idx="143">
                  <c:v>-1.2145730894585263</c:v>
                </c:pt>
                <c:pt idx="144">
                  <c:v>-1.2397953246756923</c:v>
                </c:pt>
                <c:pt idx="145">
                  <c:v>-1.265509568206159</c:v>
                </c:pt>
                <c:pt idx="146">
                  <c:v>-1.2917158200499286</c:v>
                </c:pt>
                <c:pt idx="147">
                  <c:v>-1.3184140802069999</c:v>
                </c:pt>
                <c:pt idx="148">
                  <c:v>-1.3456043486773728</c:v>
                </c:pt>
                <c:pt idx="149">
                  <c:v>-1.3732866254610465</c:v>
                </c:pt>
                <c:pt idx="150">
                  <c:v>-1.4014609105580231</c:v>
                </c:pt>
                <c:pt idx="151">
                  <c:v>-1.4301272039683022</c:v>
                </c:pt>
                <c:pt idx="152">
                  <c:v>-1.4592855056918823</c:v>
                </c:pt>
                <c:pt idx="153">
                  <c:v>-1.488935815728764</c:v>
                </c:pt>
                <c:pt idx="154">
                  <c:v>-1.5190781340789483</c:v>
                </c:pt>
                <c:pt idx="155">
                  <c:v>-1.5497124607424335</c:v>
                </c:pt>
                <c:pt idx="156">
                  <c:v>-1.5808387957192203</c:v>
                </c:pt>
                <c:pt idx="157">
                  <c:v>-1.6124571390093099</c:v>
                </c:pt>
                <c:pt idx="158">
                  <c:v>-1.6445674906127012</c:v>
                </c:pt>
                <c:pt idx="159">
                  <c:v>-1.6771698505293944</c:v>
                </c:pt>
                <c:pt idx="160">
                  <c:v>-1.7102642187593882</c:v>
                </c:pt>
                <c:pt idx="161">
                  <c:v>-1.7438505953026848</c:v>
                </c:pt>
                <c:pt idx="162">
                  <c:v>-1.7779289801592841</c:v>
                </c:pt>
                <c:pt idx="163">
                  <c:v>-1.8124993733291841</c:v>
                </c:pt>
                <c:pt idx="164">
                  <c:v>-1.8475617748123858</c:v>
                </c:pt>
                <c:pt idx="165">
                  <c:v>-1.8831161846088904</c:v>
                </c:pt>
                <c:pt idx="166">
                  <c:v>-1.9191626027186957</c:v>
                </c:pt>
                <c:pt idx="167">
                  <c:v>-1.9557010291418027</c:v>
                </c:pt>
                <c:pt idx="168">
                  <c:v>-1.9927314638782123</c:v>
                </c:pt>
                <c:pt idx="169">
                  <c:v>-2.0302539069279235</c:v>
                </c:pt>
                <c:pt idx="170">
                  <c:v>-2.0682683582909367</c:v>
                </c:pt>
                <c:pt idx="171">
                  <c:v>-2.1067748179672519</c:v>
                </c:pt>
                <c:pt idx="172">
                  <c:v>-2.1457732859568677</c:v>
                </c:pt>
                <c:pt idx="173">
                  <c:v>-2.1852637622597868</c:v>
                </c:pt>
                <c:pt idx="174">
                  <c:v>-2.225246246876007</c:v>
                </c:pt>
                <c:pt idx="175">
                  <c:v>-2.2657207398055288</c:v>
                </c:pt>
                <c:pt idx="176">
                  <c:v>-2.3066872410483534</c:v>
                </c:pt>
                <c:pt idx="177">
                  <c:v>-2.3481457506044796</c:v>
                </c:pt>
                <c:pt idx="178">
                  <c:v>-2.390096268473906</c:v>
                </c:pt>
                <c:pt idx="179">
                  <c:v>-2.4325387946566357</c:v>
                </c:pt>
                <c:pt idx="180">
                  <c:v>-2.4754733291526674</c:v>
                </c:pt>
                <c:pt idx="181">
                  <c:v>-2.5188998719620006</c:v>
                </c:pt>
                <c:pt idx="182">
                  <c:v>-2.5628184230846354</c:v>
                </c:pt>
                <c:pt idx="183">
                  <c:v>-2.6072289825205721</c:v>
                </c:pt>
                <c:pt idx="184">
                  <c:v>-2.6521315502698108</c:v>
                </c:pt>
                <c:pt idx="185">
                  <c:v>-2.6975261263323511</c:v>
                </c:pt>
                <c:pt idx="186">
                  <c:v>-2.7434127107081938</c:v>
                </c:pt>
                <c:pt idx="187">
                  <c:v>-2.7897913033973376</c:v>
                </c:pt>
                <c:pt idx="188">
                  <c:v>-2.8366619043997838</c:v>
                </c:pt>
                <c:pt idx="189">
                  <c:v>-2.884024513715532</c:v>
                </c:pt>
                <c:pt idx="190">
                  <c:v>-2.93187913134458</c:v>
                </c:pt>
                <c:pt idx="191">
                  <c:v>-2.9802257572869326</c:v>
                </c:pt>
                <c:pt idx="192">
                  <c:v>-3.029064391542585</c:v>
                </c:pt>
                <c:pt idx="193">
                  <c:v>-3.0783950341115403</c:v>
                </c:pt>
                <c:pt idx="194">
                  <c:v>-3.1282176849937979</c:v>
                </c:pt>
                <c:pt idx="195">
                  <c:v>-3.1785323441893554</c:v>
                </c:pt>
                <c:pt idx="196">
                  <c:v>-3.229339011698217</c:v>
                </c:pt>
                <c:pt idx="197">
                  <c:v>-3.2806376875203789</c:v>
                </c:pt>
                <c:pt idx="198">
                  <c:v>-3.3324283716558436</c:v>
                </c:pt>
                <c:pt idx="199">
                  <c:v>-3.384711064104609</c:v>
                </c:pt>
                <c:pt idx="200">
                  <c:v>-3.4374857648666772</c:v>
                </c:pt>
                <c:pt idx="201">
                  <c:v>-3.4907524739420466</c:v>
                </c:pt>
                <c:pt idx="202">
                  <c:v>-3.5445111913307183</c:v>
                </c:pt>
                <c:pt idx="203">
                  <c:v>-3.5987619170326925</c:v>
                </c:pt>
                <c:pt idx="204">
                  <c:v>-3.6535046510479656</c:v>
                </c:pt>
                <c:pt idx="205">
                  <c:v>-3.7087393933765416</c:v>
                </c:pt>
                <c:pt idx="206">
                  <c:v>-3.7644661440184226</c:v>
                </c:pt>
                <c:pt idx="207">
                  <c:v>-3.8206849029736016</c:v>
                </c:pt>
                <c:pt idx="208">
                  <c:v>-3.8773956702420858</c:v>
                </c:pt>
                <c:pt idx="209">
                  <c:v>-3.9345984458238688</c:v>
                </c:pt>
                <c:pt idx="210">
                  <c:v>-3.9922932297189564</c:v>
                </c:pt>
                <c:pt idx="211">
                  <c:v>-4.0504800219273447</c:v>
                </c:pt>
                <c:pt idx="212">
                  <c:v>-4.1091588224490341</c:v>
                </c:pt>
                <c:pt idx="213">
                  <c:v>-4.1683296312840259</c:v>
                </c:pt>
                <c:pt idx="214">
                  <c:v>-4.2279924484323184</c:v>
                </c:pt>
                <c:pt idx="215">
                  <c:v>-4.2881472738939159</c:v>
                </c:pt>
                <c:pt idx="216">
                  <c:v>-4.3487941076688097</c:v>
                </c:pt>
                <c:pt idx="217">
                  <c:v>-4.4099329497570086</c:v>
                </c:pt>
                <c:pt idx="218">
                  <c:v>-4.471563800158509</c:v>
                </c:pt>
                <c:pt idx="219">
                  <c:v>-4.5336866588733118</c:v>
                </c:pt>
                <c:pt idx="220">
                  <c:v>-4.5963015259014162</c:v>
                </c:pt>
                <c:pt idx="221">
                  <c:v>-4.6594084012428221</c:v>
                </c:pt>
                <c:pt idx="222">
                  <c:v>-4.7230072848975304</c:v>
                </c:pt>
                <c:pt idx="223">
                  <c:v>-4.7870981768655421</c:v>
                </c:pt>
                <c:pt idx="224">
                  <c:v>-4.8516810771468535</c:v>
                </c:pt>
                <c:pt idx="225">
                  <c:v>-4.9167559857414664</c:v>
                </c:pt>
                <c:pt idx="226">
                  <c:v>-4.9823229026493818</c:v>
                </c:pt>
                <c:pt idx="227">
                  <c:v>-5.0483818278705979</c:v>
                </c:pt>
                <c:pt idx="228">
                  <c:v>-5.1149327614051172</c:v>
                </c:pt>
                <c:pt idx="229">
                  <c:v>-5.1819757032529381</c:v>
                </c:pt>
                <c:pt idx="230">
                  <c:v>-5.2495106534140605</c:v>
                </c:pt>
                <c:pt idx="231">
                  <c:v>-5.3175376118884854</c:v>
                </c:pt>
                <c:pt idx="232">
                  <c:v>-5.3860565786762118</c:v>
                </c:pt>
                <c:pt idx="233">
                  <c:v>-5.4550675537772397</c:v>
                </c:pt>
                <c:pt idx="234">
                  <c:v>-5.5245705371915692</c:v>
                </c:pt>
                <c:pt idx="235">
                  <c:v>-5.5945655289192011</c:v>
                </c:pt>
                <c:pt idx="236">
                  <c:v>-5.6650525289601363</c:v>
                </c:pt>
                <c:pt idx="237">
                  <c:v>-5.7360315373143713</c:v>
                </c:pt>
                <c:pt idx="238">
                  <c:v>-5.8075025539819096</c:v>
                </c:pt>
                <c:pt idx="239">
                  <c:v>-5.8794655789627468</c:v>
                </c:pt>
                <c:pt idx="240">
                  <c:v>-5.9519206122568864</c:v>
                </c:pt>
                <c:pt idx="241">
                  <c:v>-6.0248676538643311</c:v>
                </c:pt>
                <c:pt idx="242">
                  <c:v>-6.0983067037850756</c:v>
                </c:pt>
                <c:pt idx="243">
                  <c:v>-6.1722377620191216</c:v>
                </c:pt>
                <c:pt idx="244">
                  <c:v>-6.2466608285664709</c:v>
                </c:pt>
                <c:pt idx="245">
                  <c:v>-6.3215759034271199</c:v>
                </c:pt>
                <c:pt idx="246">
                  <c:v>-6.3969829866010723</c:v>
                </c:pt>
                <c:pt idx="247">
                  <c:v>-6.4728820780883272</c:v>
                </c:pt>
                <c:pt idx="248">
                  <c:v>-6.5492731778888826</c:v>
                </c:pt>
                <c:pt idx="249">
                  <c:v>-6.6261562860027388</c:v>
                </c:pt>
                <c:pt idx="250">
                  <c:v>-6.7035314024299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09-47CA-94AA-7F519334BBF7}"/>
            </c:ext>
          </c:extLst>
        </c:ser>
        <c:ser>
          <c:idx val="2"/>
          <c:order val="1"/>
          <c:spPr>
            <a:ln w="12700"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Sheet1!$P$71:$P$72</c:f>
              <c:numCache>
                <c:formatCode>General</c:formatCode>
                <c:ptCount val="2"/>
                <c:pt idx="0">
                  <c:v>0</c:v>
                </c:pt>
                <c:pt idx="1">
                  <c:v>250</c:v>
                </c:pt>
              </c:numCache>
            </c:numRef>
          </c:xVal>
          <c:yVal>
            <c:numRef>
              <c:f>Sheet1!$R$71:$R$72</c:f>
              <c:numCache>
                <c:formatCode>General</c:formatCode>
                <c:ptCount val="2"/>
                <c:pt idx="0">
                  <c:v>0</c:v>
                </c:pt>
                <c:pt idx="1">
                  <c:v>-1.4775413711583927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009-47CA-94AA-7F519334BB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531160"/>
        <c:axId val="1"/>
      </c:scatterChart>
      <c:valAx>
        <c:axId val="513531160"/>
        <c:scaling>
          <c:orientation val="minMax"/>
          <c:max val="250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Airspeed (km/hr)</a:t>
                </a:r>
              </a:p>
            </c:rich>
          </c:tx>
          <c:layout>
            <c:manualLayout>
              <c:xMode val="edge"/>
              <c:yMode val="edge"/>
              <c:x val="0.45225490457760575"/>
              <c:y val="0.9219722031390371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in"/>
        <c:tickLblPos val="high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  <c:majorUnit val="10"/>
        <c:minorUnit val="2"/>
      </c:valAx>
      <c:valAx>
        <c:axId val="1"/>
        <c:scaling>
          <c:orientation val="minMax"/>
          <c:max val="2.5"/>
          <c:min val="-7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Sink (m/s)</a:t>
                </a:r>
              </a:p>
            </c:rich>
          </c:tx>
          <c:layout>
            <c:manualLayout>
              <c:xMode val="edge"/>
              <c:yMode val="edge"/>
              <c:x val="2.1220205525156813E-2"/>
              <c:y val="0.4784398175060332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13531160"/>
        <c:crosses val="autoZero"/>
        <c:crossBetween val="midCat"/>
        <c:majorUnit val="1"/>
        <c:minorUnit val="0.2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0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Polar Plot</a:t>
            </a:r>
          </a:p>
        </c:rich>
      </c:tx>
      <c:layout>
        <c:manualLayout>
          <c:xMode val="edge"/>
          <c:yMode val="edge"/>
          <c:x val="0.44768216155721646"/>
          <c:y val="3.073751814542735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1390728476821198E-2"/>
          <c:y val="0.12243100338714644"/>
          <c:w val="0.8741721854304636"/>
          <c:h val="0.79056684115602871"/>
        </c:manualLayout>
      </c:layout>
      <c:scatterChart>
        <c:scatterStyle val="lineMarker"/>
        <c:varyColors val="0"/>
        <c:ser>
          <c:idx val="2"/>
          <c:order val="0"/>
          <c:marker>
            <c:symbol val="none"/>
          </c:marker>
          <c:dPt>
            <c:idx val="1"/>
            <c:bubble3D val="0"/>
            <c:spPr>
              <a:ln w="12700">
                <a:solidFill>
                  <a:srgbClr val="C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BFDA-433F-BAD5-548412520853}"/>
              </c:ext>
            </c:extLst>
          </c:dPt>
          <c:xVal>
            <c:numRef>
              <c:f>Sheet1!$K$71:$K$72</c:f>
              <c:numCache>
                <c:formatCode>0.0</c:formatCode>
                <c:ptCount val="2"/>
                <c:pt idx="0" formatCode="General">
                  <c:v>0</c:v>
                </c:pt>
                <c:pt idx="1">
                  <c:v>134.90179149579106</c:v>
                </c:pt>
              </c:numCache>
            </c:numRef>
          </c:xVal>
          <c:yVal>
            <c:numRef>
              <c:f>Sheet1!$M$71:$M$72</c:f>
              <c:numCache>
                <c:formatCode>General</c:formatCode>
                <c:ptCount val="2"/>
                <c:pt idx="0" formatCode="0.0">
                  <c:v>0</c:v>
                </c:pt>
                <c:pt idx="1">
                  <c:v>-2.870250882889172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FDA-433F-BAD5-548412520853}"/>
            </c:ext>
          </c:extLst>
        </c:ser>
        <c:ser>
          <c:idx val="0"/>
          <c:order val="1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Sheet1!$CO$3:$CO$253</c:f>
              <c:numCache>
                <c:formatCode>General</c:formatCode>
                <c:ptCount val="251"/>
                <c:pt idx="0">
                  <c:v>0</c:v>
                </c:pt>
                <c:pt idx="1">
                  <c:v>0.53960716598316427</c:v>
                </c:pt>
                <c:pt idx="2">
                  <c:v>1.0792143319663285</c:v>
                </c:pt>
                <c:pt idx="3">
                  <c:v>1.6188214979494928</c:v>
                </c:pt>
                <c:pt idx="4">
                  <c:v>2.1584286639326571</c:v>
                </c:pt>
                <c:pt idx="5">
                  <c:v>2.6980358299158214</c:v>
                </c:pt>
                <c:pt idx="6">
                  <c:v>3.2376429958989856</c:v>
                </c:pt>
                <c:pt idx="7">
                  <c:v>3.7772501618821499</c:v>
                </c:pt>
                <c:pt idx="8">
                  <c:v>4.3168573278653142</c:v>
                </c:pt>
                <c:pt idx="9">
                  <c:v>4.8564644938484784</c:v>
                </c:pt>
                <c:pt idx="10">
                  <c:v>5.3960716598316427</c:v>
                </c:pt>
                <c:pt idx="11">
                  <c:v>5.935678825814807</c:v>
                </c:pt>
                <c:pt idx="12">
                  <c:v>6.4752859917979713</c:v>
                </c:pt>
                <c:pt idx="13">
                  <c:v>7.0148931577811355</c:v>
                </c:pt>
                <c:pt idx="14">
                  <c:v>7.5545003237642998</c:v>
                </c:pt>
                <c:pt idx="15">
                  <c:v>8.0941074897474632</c:v>
                </c:pt>
                <c:pt idx="16">
                  <c:v>8.6337146557306284</c:v>
                </c:pt>
                <c:pt idx="17">
                  <c:v>9.1733218217137917</c:v>
                </c:pt>
                <c:pt idx="18">
                  <c:v>9.7129289876969569</c:v>
                </c:pt>
                <c:pt idx="19">
                  <c:v>10.25253615368012</c:v>
                </c:pt>
                <c:pt idx="20">
                  <c:v>10.792143319663285</c:v>
                </c:pt>
                <c:pt idx="21">
                  <c:v>11.331750485646449</c:v>
                </c:pt>
                <c:pt idx="22">
                  <c:v>11.871357651629614</c:v>
                </c:pt>
                <c:pt idx="23">
                  <c:v>12.410964817612777</c:v>
                </c:pt>
                <c:pt idx="24">
                  <c:v>12.950571983595943</c:v>
                </c:pt>
                <c:pt idx="25">
                  <c:v>13.490179149579106</c:v>
                </c:pt>
                <c:pt idx="26">
                  <c:v>14.029786315562271</c:v>
                </c:pt>
                <c:pt idx="27">
                  <c:v>14.569393481545434</c:v>
                </c:pt>
                <c:pt idx="28">
                  <c:v>15.1090006475286</c:v>
                </c:pt>
                <c:pt idx="29">
                  <c:v>15.648607813511763</c:v>
                </c:pt>
                <c:pt idx="30">
                  <c:v>16.188214979494926</c:v>
                </c:pt>
                <c:pt idx="31">
                  <c:v>16.727822145478093</c:v>
                </c:pt>
                <c:pt idx="32">
                  <c:v>17.267429311461257</c:v>
                </c:pt>
                <c:pt idx="33">
                  <c:v>17.80703647744442</c:v>
                </c:pt>
                <c:pt idx="34">
                  <c:v>18.346643643427583</c:v>
                </c:pt>
                <c:pt idx="35">
                  <c:v>18.88625080941075</c:v>
                </c:pt>
                <c:pt idx="36">
                  <c:v>19.425857975393914</c:v>
                </c:pt>
                <c:pt idx="37">
                  <c:v>19.965465141377077</c:v>
                </c:pt>
                <c:pt idx="38">
                  <c:v>20.505072307360241</c:v>
                </c:pt>
                <c:pt idx="39">
                  <c:v>21.044679473343407</c:v>
                </c:pt>
                <c:pt idx="40">
                  <c:v>21.584286639326571</c:v>
                </c:pt>
                <c:pt idx="41">
                  <c:v>22.123893805309734</c:v>
                </c:pt>
                <c:pt idx="42">
                  <c:v>22.663500971292898</c:v>
                </c:pt>
                <c:pt idx="43">
                  <c:v>23.203108137276065</c:v>
                </c:pt>
                <c:pt idx="44">
                  <c:v>23.742715303259228</c:v>
                </c:pt>
                <c:pt idx="45">
                  <c:v>24.282322469242391</c:v>
                </c:pt>
                <c:pt idx="46">
                  <c:v>24.821929635225555</c:v>
                </c:pt>
                <c:pt idx="47">
                  <c:v>25.361536801208722</c:v>
                </c:pt>
                <c:pt idx="48">
                  <c:v>25.901143967191885</c:v>
                </c:pt>
                <c:pt idx="49">
                  <c:v>26.440751133175048</c:v>
                </c:pt>
                <c:pt idx="50">
                  <c:v>26.980358299158212</c:v>
                </c:pt>
                <c:pt idx="51">
                  <c:v>27.519965465141379</c:v>
                </c:pt>
                <c:pt idx="52">
                  <c:v>28.059572631124542</c:v>
                </c:pt>
                <c:pt idx="53">
                  <c:v>28.599179797107706</c:v>
                </c:pt>
                <c:pt idx="54">
                  <c:v>29.138786963090869</c:v>
                </c:pt>
                <c:pt idx="55">
                  <c:v>29.678394129074036</c:v>
                </c:pt>
                <c:pt idx="56">
                  <c:v>30.218001295057199</c:v>
                </c:pt>
                <c:pt idx="57">
                  <c:v>30.757608461040363</c:v>
                </c:pt>
                <c:pt idx="58">
                  <c:v>31.297215627023526</c:v>
                </c:pt>
                <c:pt idx="59">
                  <c:v>31.836822793006693</c:v>
                </c:pt>
                <c:pt idx="60">
                  <c:v>32.376429958989853</c:v>
                </c:pt>
                <c:pt idx="61">
                  <c:v>32.916037124973023</c:v>
                </c:pt>
                <c:pt idx="62">
                  <c:v>33.455644290956187</c:v>
                </c:pt>
                <c:pt idx="63">
                  <c:v>33.99525145693935</c:v>
                </c:pt>
                <c:pt idx="64">
                  <c:v>34.534858622922513</c:v>
                </c:pt>
                <c:pt idx="65">
                  <c:v>35.074465788905677</c:v>
                </c:pt>
                <c:pt idx="66">
                  <c:v>35.61407295488884</c:v>
                </c:pt>
                <c:pt idx="67">
                  <c:v>36.153680120872004</c:v>
                </c:pt>
                <c:pt idx="68">
                  <c:v>36.693287286855167</c:v>
                </c:pt>
                <c:pt idx="69">
                  <c:v>37.232894452838337</c:v>
                </c:pt>
                <c:pt idx="70">
                  <c:v>37.772501618821501</c:v>
                </c:pt>
                <c:pt idx="71">
                  <c:v>38.312108784804664</c:v>
                </c:pt>
                <c:pt idx="72">
                  <c:v>38.851715950787828</c:v>
                </c:pt>
                <c:pt idx="73">
                  <c:v>39.391323116770991</c:v>
                </c:pt>
                <c:pt idx="74">
                  <c:v>39.930930282754154</c:v>
                </c:pt>
                <c:pt idx="75">
                  <c:v>40.470537448737318</c:v>
                </c:pt>
                <c:pt idx="76">
                  <c:v>41.010144614720481</c:v>
                </c:pt>
                <c:pt idx="77">
                  <c:v>41.549751780703652</c:v>
                </c:pt>
                <c:pt idx="78">
                  <c:v>42.089358946686815</c:v>
                </c:pt>
                <c:pt idx="79">
                  <c:v>42.628966112669978</c:v>
                </c:pt>
                <c:pt idx="80">
                  <c:v>43.168573278653142</c:v>
                </c:pt>
                <c:pt idx="81">
                  <c:v>43.708180444636305</c:v>
                </c:pt>
                <c:pt idx="82">
                  <c:v>44.247787610619469</c:v>
                </c:pt>
                <c:pt idx="83">
                  <c:v>44.787394776602632</c:v>
                </c:pt>
                <c:pt idx="84">
                  <c:v>45.327001942585795</c:v>
                </c:pt>
                <c:pt idx="85">
                  <c:v>45.866609108568966</c:v>
                </c:pt>
                <c:pt idx="86">
                  <c:v>46.406216274552129</c:v>
                </c:pt>
                <c:pt idx="87">
                  <c:v>46.945823440535293</c:v>
                </c:pt>
                <c:pt idx="88">
                  <c:v>47.485430606518456</c:v>
                </c:pt>
                <c:pt idx="89">
                  <c:v>48.025037772501619</c:v>
                </c:pt>
                <c:pt idx="90">
                  <c:v>48.564644938484783</c:v>
                </c:pt>
                <c:pt idx="91">
                  <c:v>49.104252104467946</c:v>
                </c:pt>
                <c:pt idx="92">
                  <c:v>49.643859270451109</c:v>
                </c:pt>
                <c:pt idx="93">
                  <c:v>50.18346643643428</c:v>
                </c:pt>
                <c:pt idx="94">
                  <c:v>50.723073602417443</c:v>
                </c:pt>
                <c:pt idx="95">
                  <c:v>51.262680768400607</c:v>
                </c:pt>
                <c:pt idx="96">
                  <c:v>51.80228793438377</c:v>
                </c:pt>
                <c:pt idx="97">
                  <c:v>52.341895100366933</c:v>
                </c:pt>
                <c:pt idx="98">
                  <c:v>52.881502266350097</c:v>
                </c:pt>
                <c:pt idx="99">
                  <c:v>53.42110943233326</c:v>
                </c:pt>
                <c:pt idx="100">
                  <c:v>53.960716598316424</c:v>
                </c:pt>
                <c:pt idx="101">
                  <c:v>54.500323764299594</c:v>
                </c:pt>
                <c:pt idx="102">
                  <c:v>55.039930930282758</c:v>
                </c:pt>
                <c:pt idx="103">
                  <c:v>55.579538096265921</c:v>
                </c:pt>
                <c:pt idx="104">
                  <c:v>56.119145262249084</c:v>
                </c:pt>
                <c:pt idx="105">
                  <c:v>56.658752428232248</c:v>
                </c:pt>
                <c:pt idx="106">
                  <c:v>57.198359594215411</c:v>
                </c:pt>
                <c:pt idx="107">
                  <c:v>57.737966760198574</c:v>
                </c:pt>
                <c:pt idx="108">
                  <c:v>58.277573926181738</c:v>
                </c:pt>
                <c:pt idx="109">
                  <c:v>58.817181092164908</c:v>
                </c:pt>
                <c:pt idx="110">
                  <c:v>59.356788258148072</c:v>
                </c:pt>
                <c:pt idx="111">
                  <c:v>59.896395424131235</c:v>
                </c:pt>
                <c:pt idx="112">
                  <c:v>60.436002590114398</c:v>
                </c:pt>
                <c:pt idx="113">
                  <c:v>60.975609756097562</c:v>
                </c:pt>
                <c:pt idx="114">
                  <c:v>61.515216922080725</c:v>
                </c:pt>
                <c:pt idx="115">
                  <c:v>62.054824088063889</c:v>
                </c:pt>
                <c:pt idx="116">
                  <c:v>62.594431254047052</c:v>
                </c:pt>
                <c:pt idx="117">
                  <c:v>63.134038420030222</c:v>
                </c:pt>
                <c:pt idx="118">
                  <c:v>63.673645586013386</c:v>
                </c:pt>
                <c:pt idx="119">
                  <c:v>64.213252751996549</c:v>
                </c:pt>
                <c:pt idx="120">
                  <c:v>64.752859917979706</c:v>
                </c:pt>
                <c:pt idx="121">
                  <c:v>65.292467083962876</c:v>
                </c:pt>
                <c:pt idx="122">
                  <c:v>65.832074249946047</c:v>
                </c:pt>
                <c:pt idx="123">
                  <c:v>66.371681415929203</c:v>
                </c:pt>
                <c:pt idx="124">
                  <c:v>66.911288581912373</c:v>
                </c:pt>
                <c:pt idx="125">
                  <c:v>67.45089574789553</c:v>
                </c:pt>
                <c:pt idx="126">
                  <c:v>67.9905029138787</c:v>
                </c:pt>
                <c:pt idx="127">
                  <c:v>68.530110079861856</c:v>
                </c:pt>
                <c:pt idx="128">
                  <c:v>69.069717245845027</c:v>
                </c:pt>
                <c:pt idx="129">
                  <c:v>69.609324411828197</c:v>
                </c:pt>
                <c:pt idx="130">
                  <c:v>70.148931577811354</c:v>
                </c:pt>
                <c:pt idx="131">
                  <c:v>70.688538743794524</c:v>
                </c:pt>
                <c:pt idx="132">
                  <c:v>71.22814590977768</c:v>
                </c:pt>
                <c:pt idx="133">
                  <c:v>71.767753075760851</c:v>
                </c:pt>
                <c:pt idx="134">
                  <c:v>72.307360241744007</c:v>
                </c:pt>
                <c:pt idx="135">
                  <c:v>72.846967407727178</c:v>
                </c:pt>
                <c:pt idx="136">
                  <c:v>73.386574573710334</c:v>
                </c:pt>
                <c:pt idx="137">
                  <c:v>73.926181739693504</c:v>
                </c:pt>
                <c:pt idx="138">
                  <c:v>74.465788905676675</c:v>
                </c:pt>
                <c:pt idx="139">
                  <c:v>75.005396071659831</c:v>
                </c:pt>
                <c:pt idx="140">
                  <c:v>75.545003237643002</c:v>
                </c:pt>
                <c:pt idx="141">
                  <c:v>76.084610403626158</c:v>
                </c:pt>
                <c:pt idx="142">
                  <c:v>76.624217569609328</c:v>
                </c:pt>
                <c:pt idx="143">
                  <c:v>77.163824735592485</c:v>
                </c:pt>
                <c:pt idx="144">
                  <c:v>77.703431901575655</c:v>
                </c:pt>
                <c:pt idx="145">
                  <c:v>78.243039067558826</c:v>
                </c:pt>
                <c:pt idx="146">
                  <c:v>78.782646233541982</c:v>
                </c:pt>
                <c:pt idx="147">
                  <c:v>79.322253399525152</c:v>
                </c:pt>
                <c:pt idx="148">
                  <c:v>79.861860565508309</c:v>
                </c:pt>
                <c:pt idx="149">
                  <c:v>80.401467731491479</c:v>
                </c:pt>
                <c:pt idx="150">
                  <c:v>80.941074897474635</c:v>
                </c:pt>
                <c:pt idx="151">
                  <c:v>81.480682063457806</c:v>
                </c:pt>
                <c:pt idx="152">
                  <c:v>82.020289229440962</c:v>
                </c:pt>
                <c:pt idx="153">
                  <c:v>82.559896395424133</c:v>
                </c:pt>
                <c:pt idx="154">
                  <c:v>83.099503561407303</c:v>
                </c:pt>
                <c:pt idx="155">
                  <c:v>83.639110727390459</c:v>
                </c:pt>
                <c:pt idx="156">
                  <c:v>84.17871789337363</c:v>
                </c:pt>
                <c:pt idx="157">
                  <c:v>84.718325059356786</c:v>
                </c:pt>
                <c:pt idx="158">
                  <c:v>85.257932225339957</c:v>
                </c:pt>
                <c:pt idx="159">
                  <c:v>85.797539391323113</c:v>
                </c:pt>
                <c:pt idx="160">
                  <c:v>86.337146557306284</c:v>
                </c:pt>
                <c:pt idx="161">
                  <c:v>86.876753723289454</c:v>
                </c:pt>
                <c:pt idx="162">
                  <c:v>87.41636088927261</c:v>
                </c:pt>
                <c:pt idx="163">
                  <c:v>87.955968055255781</c:v>
                </c:pt>
                <c:pt idx="164">
                  <c:v>88.495575221238937</c:v>
                </c:pt>
                <c:pt idx="165">
                  <c:v>89.035182387222108</c:v>
                </c:pt>
                <c:pt idx="166">
                  <c:v>89.574789553205264</c:v>
                </c:pt>
                <c:pt idx="167">
                  <c:v>90.114396719188434</c:v>
                </c:pt>
                <c:pt idx="168">
                  <c:v>90.654003885171591</c:v>
                </c:pt>
                <c:pt idx="169">
                  <c:v>91.193611051154761</c:v>
                </c:pt>
                <c:pt idx="170">
                  <c:v>91.733218217137932</c:v>
                </c:pt>
                <c:pt idx="171">
                  <c:v>92.272825383121088</c:v>
                </c:pt>
                <c:pt idx="172">
                  <c:v>92.812432549104258</c:v>
                </c:pt>
                <c:pt idx="173">
                  <c:v>93.352039715087415</c:v>
                </c:pt>
                <c:pt idx="174">
                  <c:v>93.891646881070585</c:v>
                </c:pt>
                <c:pt idx="175">
                  <c:v>94.431254047053741</c:v>
                </c:pt>
                <c:pt idx="176">
                  <c:v>94.970861213036912</c:v>
                </c:pt>
                <c:pt idx="177">
                  <c:v>95.510468379020082</c:v>
                </c:pt>
                <c:pt idx="178">
                  <c:v>96.050075545003239</c:v>
                </c:pt>
                <c:pt idx="179">
                  <c:v>96.589682710986409</c:v>
                </c:pt>
                <c:pt idx="180">
                  <c:v>97.129289876969565</c:v>
                </c:pt>
                <c:pt idx="181">
                  <c:v>97.668897042952736</c:v>
                </c:pt>
                <c:pt idx="182">
                  <c:v>98.208504208935892</c:v>
                </c:pt>
                <c:pt idx="183">
                  <c:v>98.748111374919063</c:v>
                </c:pt>
                <c:pt idx="184">
                  <c:v>99.287718540902219</c:v>
                </c:pt>
                <c:pt idx="185">
                  <c:v>99.827325706885389</c:v>
                </c:pt>
                <c:pt idx="186">
                  <c:v>100.36693287286856</c:v>
                </c:pt>
                <c:pt idx="187">
                  <c:v>100.90654003885172</c:v>
                </c:pt>
                <c:pt idx="188">
                  <c:v>101.44614720483489</c:v>
                </c:pt>
                <c:pt idx="189">
                  <c:v>101.98575437081804</c:v>
                </c:pt>
                <c:pt idx="190">
                  <c:v>102.52536153680121</c:v>
                </c:pt>
                <c:pt idx="191">
                  <c:v>103.06496870278437</c:v>
                </c:pt>
                <c:pt idx="192">
                  <c:v>103.60457586876754</c:v>
                </c:pt>
                <c:pt idx="193">
                  <c:v>104.14418303475071</c:v>
                </c:pt>
                <c:pt idx="194">
                  <c:v>104.68379020073387</c:v>
                </c:pt>
                <c:pt idx="195">
                  <c:v>105.22339736671704</c:v>
                </c:pt>
                <c:pt idx="196">
                  <c:v>105.76300453270019</c:v>
                </c:pt>
                <c:pt idx="197">
                  <c:v>106.30261169868336</c:v>
                </c:pt>
                <c:pt idx="198">
                  <c:v>106.84221886466652</c:v>
                </c:pt>
                <c:pt idx="199">
                  <c:v>107.38182603064969</c:v>
                </c:pt>
                <c:pt idx="200">
                  <c:v>107.92143319663285</c:v>
                </c:pt>
                <c:pt idx="201">
                  <c:v>108.46104036261602</c:v>
                </c:pt>
                <c:pt idx="202">
                  <c:v>109.00064752859919</c:v>
                </c:pt>
                <c:pt idx="203">
                  <c:v>109.54025469458234</c:v>
                </c:pt>
                <c:pt idx="204">
                  <c:v>110.07986186056552</c:v>
                </c:pt>
                <c:pt idx="205">
                  <c:v>110.61946902654867</c:v>
                </c:pt>
                <c:pt idx="206">
                  <c:v>111.15907619253184</c:v>
                </c:pt>
                <c:pt idx="207">
                  <c:v>111.698683358515</c:v>
                </c:pt>
                <c:pt idx="208">
                  <c:v>112.23829052449817</c:v>
                </c:pt>
                <c:pt idx="209">
                  <c:v>112.77789769048134</c:v>
                </c:pt>
                <c:pt idx="210">
                  <c:v>113.3175048564645</c:v>
                </c:pt>
                <c:pt idx="211">
                  <c:v>113.85711202244767</c:v>
                </c:pt>
                <c:pt idx="212">
                  <c:v>114.39671918843082</c:v>
                </c:pt>
                <c:pt idx="213">
                  <c:v>114.93632635441399</c:v>
                </c:pt>
                <c:pt idx="214">
                  <c:v>115.47593352039715</c:v>
                </c:pt>
                <c:pt idx="215">
                  <c:v>116.01554068638032</c:v>
                </c:pt>
                <c:pt idx="216">
                  <c:v>116.55514785236348</c:v>
                </c:pt>
                <c:pt idx="217">
                  <c:v>117.09475501834665</c:v>
                </c:pt>
                <c:pt idx="218">
                  <c:v>117.63436218432982</c:v>
                </c:pt>
                <c:pt idx="219">
                  <c:v>118.17396935031297</c:v>
                </c:pt>
                <c:pt idx="220">
                  <c:v>118.71357651629614</c:v>
                </c:pt>
                <c:pt idx="221">
                  <c:v>119.2531836822793</c:v>
                </c:pt>
                <c:pt idx="222">
                  <c:v>119.79279084826247</c:v>
                </c:pt>
                <c:pt idx="223">
                  <c:v>120.33239801424563</c:v>
                </c:pt>
                <c:pt idx="224">
                  <c:v>120.8720051802288</c:v>
                </c:pt>
                <c:pt idx="225">
                  <c:v>121.41161234621197</c:v>
                </c:pt>
                <c:pt idx="226">
                  <c:v>121.95121951219512</c:v>
                </c:pt>
                <c:pt idx="227">
                  <c:v>122.49082667817829</c:v>
                </c:pt>
                <c:pt idx="228">
                  <c:v>123.03043384416145</c:v>
                </c:pt>
                <c:pt idx="229">
                  <c:v>123.57004101014462</c:v>
                </c:pt>
                <c:pt idx="230">
                  <c:v>124.10964817612778</c:v>
                </c:pt>
                <c:pt idx="231">
                  <c:v>124.64925534211095</c:v>
                </c:pt>
                <c:pt idx="232">
                  <c:v>125.1888625080941</c:v>
                </c:pt>
                <c:pt idx="233">
                  <c:v>125.72846967407727</c:v>
                </c:pt>
                <c:pt idx="234">
                  <c:v>126.26807684006044</c:v>
                </c:pt>
                <c:pt idx="235">
                  <c:v>126.8076840060436</c:v>
                </c:pt>
                <c:pt idx="236">
                  <c:v>127.34729117202677</c:v>
                </c:pt>
                <c:pt idx="237">
                  <c:v>127.88689833800993</c:v>
                </c:pt>
                <c:pt idx="238">
                  <c:v>128.4265055039931</c:v>
                </c:pt>
                <c:pt idx="239">
                  <c:v>128.96611266997627</c:v>
                </c:pt>
                <c:pt idx="240">
                  <c:v>129.50571983595941</c:v>
                </c:pt>
                <c:pt idx="241">
                  <c:v>130.04532700194258</c:v>
                </c:pt>
                <c:pt idx="242">
                  <c:v>130.58493416792575</c:v>
                </c:pt>
                <c:pt idx="243">
                  <c:v>131.12454133390892</c:v>
                </c:pt>
                <c:pt idx="244">
                  <c:v>131.66414849989209</c:v>
                </c:pt>
                <c:pt idx="245">
                  <c:v>132.20375566587524</c:v>
                </c:pt>
                <c:pt idx="246">
                  <c:v>132.74336283185841</c:v>
                </c:pt>
                <c:pt idx="247">
                  <c:v>133.28296999784158</c:v>
                </c:pt>
                <c:pt idx="248">
                  <c:v>133.82257716382475</c:v>
                </c:pt>
                <c:pt idx="249">
                  <c:v>134.36218432980792</c:v>
                </c:pt>
                <c:pt idx="250">
                  <c:v>134.90179149579106</c:v>
                </c:pt>
              </c:numCache>
            </c:numRef>
          </c:xVal>
          <c:yVal>
            <c:numRef>
              <c:f>Sheet1!$CP$3:$CP$253</c:f>
              <c:numCache>
                <c:formatCode>General</c:formatCode>
                <c:ptCount val="251"/>
                <c:pt idx="0">
                  <c:v>-5.1935245897766569</c:v>
                </c:pt>
                <c:pt idx="1">
                  <c:v>-5.1058460699698456</c:v>
                </c:pt>
                <c:pt idx="2">
                  <c:v>-5.0191233185247235</c:v>
                </c:pt>
                <c:pt idx="3">
                  <c:v>-4.9333563354412941</c:v>
                </c:pt>
                <c:pt idx="4">
                  <c:v>-4.8485451207195558</c:v>
                </c:pt>
                <c:pt idx="5">
                  <c:v>-4.7646896743595102</c:v>
                </c:pt>
                <c:pt idx="6">
                  <c:v>-4.6817899963611538</c:v>
                </c:pt>
                <c:pt idx="7">
                  <c:v>-4.5998460867244901</c:v>
                </c:pt>
                <c:pt idx="8">
                  <c:v>-4.5188579454495175</c:v>
                </c:pt>
                <c:pt idx="9">
                  <c:v>-4.4388255725362367</c:v>
                </c:pt>
                <c:pt idx="10">
                  <c:v>-4.3597489679846477</c:v>
                </c:pt>
                <c:pt idx="11">
                  <c:v>-4.2816281317947498</c:v>
                </c:pt>
                <c:pt idx="12">
                  <c:v>-4.2044630639665428</c:v>
                </c:pt>
                <c:pt idx="13">
                  <c:v>-4.1282537645000277</c:v>
                </c:pt>
                <c:pt idx="14">
                  <c:v>-4.0530002333952035</c:v>
                </c:pt>
                <c:pt idx="15">
                  <c:v>-3.9787024706520704</c:v>
                </c:pt>
                <c:pt idx="16">
                  <c:v>-3.9053604762706304</c:v>
                </c:pt>
                <c:pt idx="17">
                  <c:v>-3.8329742502508819</c:v>
                </c:pt>
                <c:pt idx="18">
                  <c:v>-3.761543792592823</c:v>
                </c:pt>
                <c:pt idx="19">
                  <c:v>-3.6910691032964569</c:v>
                </c:pt>
                <c:pt idx="20">
                  <c:v>-3.6215501823617813</c:v>
                </c:pt>
                <c:pt idx="21">
                  <c:v>-3.552987029788798</c:v>
                </c:pt>
                <c:pt idx="22">
                  <c:v>-3.4853796455775061</c:v>
                </c:pt>
                <c:pt idx="23">
                  <c:v>-3.4187280297279052</c:v>
                </c:pt>
                <c:pt idx="24">
                  <c:v>-3.3530321822399962</c:v>
                </c:pt>
                <c:pt idx="25">
                  <c:v>-3.2882921031137782</c:v>
                </c:pt>
                <c:pt idx="26">
                  <c:v>-3.2245077923492511</c:v>
                </c:pt>
                <c:pt idx="27">
                  <c:v>-3.1616792499464164</c:v>
                </c:pt>
                <c:pt idx="28">
                  <c:v>-3.0998064759052726</c:v>
                </c:pt>
                <c:pt idx="29">
                  <c:v>-3.0388894702258207</c:v>
                </c:pt>
                <c:pt idx="30">
                  <c:v>-2.9789282329080602</c:v>
                </c:pt>
                <c:pt idx="31">
                  <c:v>-2.9199227639519907</c:v>
                </c:pt>
                <c:pt idx="32">
                  <c:v>-2.861873063357613</c:v>
                </c:pt>
                <c:pt idx="33">
                  <c:v>-2.8047791311249268</c:v>
                </c:pt>
                <c:pt idx="34">
                  <c:v>-2.7486409672539316</c:v>
                </c:pt>
                <c:pt idx="35">
                  <c:v>-2.6934585717446287</c:v>
                </c:pt>
                <c:pt idx="36">
                  <c:v>-2.6392319445970163</c:v>
                </c:pt>
                <c:pt idx="37">
                  <c:v>-2.5859610858110957</c:v>
                </c:pt>
                <c:pt idx="38">
                  <c:v>-2.5336459953868662</c:v>
                </c:pt>
                <c:pt idx="39">
                  <c:v>-2.482286673324329</c:v>
                </c:pt>
                <c:pt idx="40">
                  <c:v>-2.4318831196234822</c:v>
                </c:pt>
                <c:pt idx="41">
                  <c:v>-2.3824353342843283</c:v>
                </c:pt>
                <c:pt idx="42">
                  <c:v>-2.333943317306864</c:v>
                </c:pt>
                <c:pt idx="43">
                  <c:v>-2.286407068691092</c:v>
                </c:pt>
                <c:pt idx="44">
                  <c:v>-2.2398265884370114</c:v>
                </c:pt>
                <c:pt idx="45">
                  <c:v>-2.1942018765446232</c:v>
                </c:pt>
                <c:pt idx="46">
                  <c:v>-2.1495329330139255</c:v>
                </c:pt>
                <c:pt idx="47">
                  <c:v>-2.1058197578449191</c:v>
                </c:pt>
                <c:pt idx="48">
                  <c:v>-2.0630623510376038</c:v>
                </c:pt>
                <c:pt idx="49">
                  <c:v>-2.0212607125919808</c:v>
                </c:pt>
                <c:pt idx="50">
                  <c:v>-1.9804148425080499</c:v>
                </c:pt>
                <c:pt idx="51">
                  <c:v>-1.9405247407858084</c:v>
                </c:pt>
                <c:pt idx="52">
                  <c:v>-1.9015904074252596</c:v>
                </c:pt>
                <c:pt idx="53">
                  <c:v>-1.8636118424264025</c:v>
                </c:pt>
                <c:pt idx="54">
                  <c:v>-1.826589045789236</c:v>
                </c:pt>
                <c:pt idx="55">
                  <c:v>-1.7905220175137615</c:v>
                </c:pt>
                <c:pt idx="56">
                  <c:v>-1.7554107575999784</c:v>
                </c:pt>
                <c:pt idx="57">
                  <c:v>-1.7212552660478859</c:v>
                </c:pt>
                <c:pt idx="58">
                  <c:v>-1.6880555428574862</c:v>
                </c:pt>
                <c:pt idx="59">
                  <c:v>-1.6558115880287776</c:v>
                </c:pt>
                <c:pt idx="60">
                  <c:v>-1.6245234015617591</c:v>
                </c:pt>
                <c:pt idx="61">
                  <c:v>-1.5941909834564338</c:v>
                </c:pt>
                <c:pt idx="62">
                  <c:v>-1.5648143337128</c:v>
                </c:pt>
                <c:pt idx="63">
                  <c:v>-1.5363934523308556</c:v>
                </c:pt>
                <c:pt idx="64">
                  <c:v>-1.5089283393106045</c:v>
                </c:pt>
                <c:pt idx="65">
                  <c:v>-1.4824189946520445</c:v>
                </c:pt>
                <c:pt idx="66">
                  <c:v>-1.456865418355175</c:v>
                </c:pt>
                <c:pt idx="67">
                  <c:v>-1.4322676104199983</c:v>
                </c:pt>
                <c:pt idx="68">
                  <c:v>-1.4086255708465123</c:v>
                </c:pt>
                <c:pt idx="69">
                  <c:v>-1.3859392996347173</c:v>
                </c:pt>
                <c:pt idx="70">
                  <c:v>-1.3642087967846148</c:v>
                </c:pt>
                <c:pt idx="71">
                  <c:v>-1.3434340622962031</c:v>
                </c:pt>
                <c:pt idx="72">
                  <c:v>-1.323615096169483</c:v>
                </c:pt>
                <c:pt idx="73">
                  <c:v>-1.3047518984044542</c:v>
                </c:pt>
                <c:pt idx="74">
                  <c:v>-1.2868444690011174</c:v>
                </c:pt>
                <c:pt idx="75">
                  <c:v>-1.2698928079594707</c:v>
                </c:pt>
                <c:pt idx="76">
                  <c:v>-1.253896915279517</c:v>
                </c:pt>
                <c:pt idx="77">
                  <c:v>-1.238856790961254</c:v>
                </c:pt>
                <c:pt idx="78">
                  <c:v>-1.224772435004682</c:v>
                </c:pt>
                <c:pt idx="79">
                  <c:v>-1.2116438474098021</c:v>
                </c:pt>
                <c:pt idx="80">
                  <c:v>-1.1994710281766132</c:v>
                </c:pt>
                <c:pt idx="81">
                  <c:v>-1.1882539773051164</c:v>
                </c:pt>
                <c:pt idx="82">
                  <c:v>-1.1779926947953105</c:v>
                </c:pt>
                <c:pt idx="83">
                  <c:v>-1.1686871806471959</c:v>
                </c:pt>
                <c:pt idx="84">
                  <c:v>-1.1603374348607731</c:v>
                </c:pt>
                <c:pt idx="85">
                  <c:v>-1.152943457436042</c:v>
                </c:pt>
                <c:pt idx="86">
                  <c:v>-1.1465052483730014</c:v>
                </c:pt>
                <c:pt idx="87">
                  <c:v>-1.1410228076716535</c:v>
                </c:pt>
                <c:pt idx="88">
                  <c:v>-1.1364961353319967</c:v>
                </c:pt>
                <c:pt idx="89">
                  <c:v>-1.1329252313540301</c:v>
                </c:pt>
                <c:pt idx="90">
                  <c:v>-1.1303100957377563</c:v>
                </c:pt>
                <c:pt idx="91">
                  <c:v>-1.1286507284831737</c:v>
                </c:pt>
                <c:pt idx="92">
                  <c:v>-1.1279471295902819</c:v>
                </c:pt>
                <c:pt idx="93">
                  <c:v>-1.1281992990590826</c:v>
                </c:pt>
                <c:pt idx="94">
                  <c:v>-1.1294072368895745</c:v>
                </c:pt>
                <c:pt idx="95">
                  <c:v>-1.1315709430817564</c:v>
                </c:pt>
                <c:pt idx="96">
                  <c:v>-1.1346904176356314</c:v>
                </c:pt>
                <c:pt idx="97">
                  <c:v>-1.1387656605511978</c:v>
                </c:pt>
                <c:pt idx="98">
                  <c:v>-1.1437966718284545</c:v>
                </c:pt>
                <c:pt idx="99">
                  <c:v>-1.1497834514674035</c:v>
                </c:pt>
                <c:pt idx="100">
                  <c:v>-1.1567259994680439</c:v>
                </c:pt>
                <c:pt idx="101">
                  <c:v>-1.1646243158303757</c:v>
                </c:pt>
                <c:pt idx="102">
                  <c:v>-1.1734784005543974</c:v>
                </c:pt>
                <c:pt idx="103">
                  <c:v>-1.1832882536401126</c:v>
                </c:pt>
                <c:pt idx="104">
                  <c:v>-1.1940538750875187</c:v>
                </c:pt>
                <c:pt idx="105">
                  <c:v>-1.2057752648966165</c:v>
                </c:pt>
                <c:pt idx="106">
                  <c:v>-1.2184524230674054</c:v>
                </c:pt>
                <c:pt idx="107">
                  <c:v>-1.2320853495998854</c:v>
                </c:pt>
                <c:pt idx="108">
                  <c:v>-1.2466740444940558</c:v>
                </c:pt>
                <c:pt idx="109">
                  <c:v>-1.2622185077499195</c:v>
                </c:pt>
                <c:pt idx="110">
                  <c:v>-1.2787187393674742</c:v>
                </c:pt>
                <c:pt idx="111">
                  <c:v>-1.2961747393467205</c:v>
                </c:pt>
                <c:pt idx="112">
                  <c:v>-1.3145865076876588</c:v>
                </c:pt>
                <c:pt idx="113">
                  <c:v>-1.3339540443902878</c:v>
                </c:pt>
                <c:pt idx="114">
                  <c:v>-1.3542773494546068</c:v>
                </c:pt>
                <c:pt idx="115">
                  <c:v>-1.3755564228806187</c:v>
                </c:pt>
                <c:pt idx="116">
                  <c:v>-1.3977912646683222</c:v>
                </c:pt>
                <c:pt idx="117">
                  <c:v>-1.4209818748177168</c:v>
                </c:pt>
                <c:pt idx="118">
                  <c:v>-1.4451282533288039</c:v>
                </c:pt>
                <c:pt idx="119">
                  <c:v>-1.470230400201582</c:v>
                </c:pt>
                <c:pt idx="120">
                  <c:v>-1.4962883154360487</c:v>
                </c:pt>
                <c:pt idx="121">
                  <c:v>-1.5233019990322103</c:v>
                </c:pt>
                <c:pt idx="122">
                  <c:v>-1.5512714509900623</c:v>
                </c:pt>
                <c:pt idx="123">
                  <c:v>-1.5801966713096054</c:v>
                </c:pt>
                <c:pt idx="124">
                  <c:v>-1.6100776599908408</c:v>
                </c:pt>
                <c:pt idx="125">
                  <c:v>-1.6409144170337679</c:v>
                </c:pt>
                <c:pt idx="126">
                  <c:v>-1.672706942438384</c:v>
                </c:pt>
                <c:pt idx="127">
                  <c:v>-1.7054552362046931</c:v>
                </c:pt>
                <c:pt idx="128">
                  <c:v>-1.7391592983326936</c:v>
                </c:pt>
                <c:pt idx="129">
                  <c:v>-1.7738191288223866</c:v>
                </c:pt>
                <c:pt idx="130">
                  <c:v>-1.8094347276737694</c:v>
                </c:pt>
                <c:pt idx="131">
                  <c:v>-1.8460060948868429</c:v>
                </c:pt>
                <c:pt idx="132">
                  <c:v>-1.8835332304616095</c:v>
                </c:pt>
                <c:pt idx="133">
                  <c:v>-1.9220161343980671</c:v>
                </c:pt>
                <c:pt idx="134">
                  <c:v>-1.9614548066962172</c:v>
                </c:pt>
                <c:pt idx="135">
                  <c:v>-2.0018492473560578</c:v>
                </c:pt>
                <c:pt idx="136">
                  <c:v>-2.0431994563775904</c:v>
                </c:pt>
                <c:pt idx="137">
                  <c:v>-2.0855054337608125</c:v>
                </c:pt>
                <c:pt idx="138">
                  <c:v>-2.128767179505727</c:v>
                </c:pt>
                <c:pt idx="139">
                  <c:v>-2.1729846936123334</c:v>
                </c:pt>
                <c:pt idx="140">
                  <c:v>-2.2181579760806334</c:v>
                </c:pt>
                <c:pt idx="141">
                  <c:v>-2.2642870269106221</c:v>
                </c:pt>
                <c:pt idx="142">
                  <c:v>-2.3113718461023023</c:v>
                </c:pt>
                <c:pt idx="143">
                  <c:v>-2.3594124336556739</c:v>
                </c:pt>
                <c:pt idx="144">
                  <c:v>-2.4084087895707387</c:v>
                </c:pt>
                <c:pt idx="145">
                  <c:v>-2.4583609138474922</c:v>
                </c:pt>
                <c:pt idx="146">
                  <c:v>-2.5092688064859394</c:v>
                </c:pt>
                <c:pt idx="147">
                  <c:v>-2.561132467486078</c:v>
                </c:pt>
                <c:pt idx="148">
                  <c:v>-2.6139518968479072</c:v>
                </c:pt>
                <c:pt idx="149">
                  <c:v>-2.6677270945714264</c:v>
                </c:pt>
                <c:pt idx="150">
                  <c:v>-2.7224580606566389</c:v>
                </c:pt>
                <c:pt idx="151">
                  <c:v>-2.7781447951035445</c:v>
                </c:pt>
                <c:pt idx="152">
                  <c:v>-2.8347872979121389</c:v>
                </c:pt>
                <c:pt idx="153">
                  <c:v>-2.8923855690824252</c:v>
                </c:pt>
                <c:pt idx="154">
                  <c:v>-2.9509396086144042</c:v>
                </c:pt>
                <c:pt idx="155">
                  <c:v>-3.0104494165080733</c:v>
                </c:pt>
                <c:pt idx="156">
                  <c:v>-3.0709149927634325</c:v>
                </c:pt>
                <c:pt idx="157">
                  <c:v>-3.1323363373804853</c:v>
                </c:pt>
                <c:pt idx="158">
                  <c:v>-3.1947134503592296</c:v>
                </c:pt>
                <c:pt idx="159">
                  <c:v>-3.2580463316996653</c:v>
                </c:pt>
                <c:pt idx="160">
                  <c:v>-3.3223349814017902</c:v>
                </c:pt>
                <c:pt idx="161">
                  <c:v>-3.3875793994656083</c:v>
                </c:pt>
                <c:pt idx="162">
                  <c:v>-3.45377958589112</c:v>
                </c:pt>
                <c:pt idx="163">
                  <c:v>-3.52093554067832</c:v>
                </c:pt>
                <c:pt idx="164">
                  <c:v>-3.589047263827212</c:v>
                </c:pt>
                <c:pt idx="165">
                  <c:v>-3.6581147553377975</c:v>
                </c:pt>
                <c:pt idx="166">
                  <c:v>-3.7281380152100718</c:v>
                </c:pt>
                <c:pt idx="167">
                  <c:v>-3.7991170434440376</c:v>
                </c:pt>
                <c:pt idx="168">
                  <c:v>-3.8710518400396965</c:v>
                </c:pt>
                <c:pt idx="169">
                  <c:v>-3.9439424049970451</c:v>
                </c:pt>
                <c:pt idx="170">
                  <c:v>-4.0177887383160868</c:v>
                </c:pt>
                <c:pt idx="171">
                  <c:v>-4.0925908399968201</c:v>
                </c:pt>
                <c:pt idx="172">
                  <c:v>-4.1683487100392425</c:v>
                </c:pt>
                <c:pt idx="173">
                  <c:v>-4.2450623484433594</c:v>
                </c:pt>
                <c:pt idx="174">
                  <c:v>-4.3227317552091655</c:v>
                </c:pt>
                <c:pt idx="175">
                  <c:v>-4.4013569303366626</c:v>
                </c:pt>
                <c:pt idx="176">
                  <c:v>-4.4809378738258543</c:v>
                </c:pt>
                <c:pt idx="177">
                  <c:v>-4.561474585676736</c:v>
                </c:pt>
                <c:pt idx="178">
                  <c:v>-4.6429670658893061</c:v>
                </c:pt>
                <c:pt idx="179">
                  <c:v>-4.7254153144635698</c:v>
                </c:pt>
                <c:pt idx="180">
                  <c:v>-4.8088193313995262</c:v>
                </c:pt>
                <c:pt idx="181">
                  <c:v>-4.8931791166971736</c:v>
                </c:pt>
                <c:pt idx="182">
                  <c:v>-4.9784946703565121</c:v>
                </c:pt>
                <c:pt idx="183">
                  <c:v>-5.0647659923775414</c:v>
                </c:pt>
                <c:pt idx="184">
                  <c:v>-5.1519930827602627</c:v>
                </c:pt>
                <c:pt idx="185">
                  <c:v>-5.2401759415046758</c:v>
                </c:pt>
                <c:pt idx="186">
                  <c:v>-5.3293145686107808</c:v>
                </c:pt>
                <c:pt idx="187">
                  <c:v>-5.419408964078575</c:v>
                </c:pt>
                <c:pt idx="188">
                  <c:v>-5.5104591279080628</c:v>
                </c:pt>
                <c:pt idx="189">
                  <c:v>-5.6024650600992416</c:v>
                </c:pt>
                <c:pt idx="190">
                  <c:v>-5.6954267606521087</c:v>
                </c:pt>
                <c:pt idx="191">
                  <c:v>-5.7893442295666731</c:v>
                </c:pt>
                <c:pt idx="192">
                  <c:v>-5.884217466842923</c:v>
                </c:pt>
                <c:pt idx="193">
                  <c:v>-5.9800464724808693</c:v>
                </c:pt>
                <c:pt idx="194">
                  <c:v>-6.0768312464805048</c:v>
                </c:pt>
                <c:pt idx="195">
                  <c:v>-6.1745717888418303</c:v>
                </c:pt>
                <c:pt idx="196">
                  <c:v>-6.2732680995648504</c:v>
                </c:pt>
                <c:pt idx="197">
                  <c:v>-6.3729201786495597</c:v>
                </c:pt>
                <c:pt idx="198">
                  <c:v>-6.4735280260959627</c:v>
                </c:pt>
                <c:pt idx="199">
                  <c:v>-6.5750916419040539</c:v>
                </c:pt>
                <c:pt idx="200">
                  <c:v>-6.6776110260738397</c:v>
                </c:pt>
                <c:pt idx="201">
                  <c:v>-6.7810861786053147</c:v>
                </c:pt>
                <c:pt idx="202">
                  <c:v>-6.8855170994984816</c:v>
                </c:pt>
                <c:pt idx="203">
                  <c:v>-6.9909037887533412</c:v>
                </c:pt>
                <c:pt idx="204">
                  <c:v>-7.0972462463698882</c:v>
                </c:pt>
                <c:pt idx="205">
                  <c:v>-7.204544472348128</c:v>
                </c:pt>
                <c:pt idx="206">
                  <c:v>-7.3127984666880659</c:v>
                </c:pt>
                <c:pt idx="207">
                  <c:v>-7.4220082293896859</c:v>
                </c:pt>
                <c:pt idx="208">
                  <c:v>-7.5321737604530048</c:v>
                </c:pt>
                <c:pt idx="209">
                  <c:v>-7.6432950598780085</c:v>
                </c:pt>
                <c:pt idx="210">
                  <c:v>-7.7553721276647121</c:v>
                </c:pt>
                <c:pt idx="211">
                  <c:v>-7.8684049638131031</c:v>
                </c:pt>
                <c:pt idx="212">
                  <c:v>-7.9823935683231833</c:v>
                </c:pt>
                <c:pt idx="213">
                  <c:v>-8.097337941194958</c:v>
                </c:pt>
                <c:pt idx="214">
                  <c:v>-8.2132380824284184</c:v>
                </c:pt>
                <c:pt idx="215">
                  <c:v>-8.3300939920235795</c:v>
                </c:pt>
                <c:pt idx="216">
                  <c:v>-8.44790566998042</c:v>
                </c:pt>
                <c:pt idx="217">
                  <c:v>-8.5666731162989596</c:v>
                </c:pt>
                <c:pt idx="218">
                  <c:v>-8.6863963309791892</c:v>
                </c:pt>
                <c:pt idx="219">
                  <c:v>-8.8070753140211107</c:v>
                </c:pt>
                <c:pt idx="220">
                  <c:v>-8.928710065424724</c:v>
                </c:pt>
                <c:pt idx="221">
                  <c:v>-9.0513005851900292</c:v>
                </c:pt>
                <c:pt idx="222">
                  <c:v>-9.1748468733170245</c:v>
                </c:pt>
                <c:pt idx="223">
                  <c:v>-9.2993489298057153</c:v>
                </c:pt>
                <c:pt idx="224">
                  <c:v>-9.4248067546560925</c:v>
                </c:pt>
                <c:pt idx="225">
                  <c:v>-9.5512203478681617</c:v>
                </c:pt>
                <c:pt idx="226">
                  <c:v>-9.6785897094419244</c:v>
                </c:pt>
                <c:pt idx="227">
                  <c:v>-9.8069148393773755</c:v>
                </c:pt>
                <c:pt idx="228">
                  <c:v>-9.936195737674522</c:v>
                </c:pt>
                <c:pt idx="229">
                  <c:v>-10.066432404333357</c:v>
                </c:pt>
                <c:pt idx="230">
                  <c:v>-10.197624839353885</c:v>
                </c:pt>
                <c:pt idx="231">
                  <c:v>-10.329773042736104</c:v>
                </c:pt>
                <c:pt idx="232">
                  <c:v>-10.462877014480014</c:v>
                </c:pt>
                <c:pt idx="233">
                  <c:v>-10.596936754585617</c:v>
                </c:pt>
                <c:pt idx="234">
                  <c:v>-10.731952263052909</c:v>
                </c:pt>
                <c:pt idx="235">
                  <c:v>-10.867923539881895</c:v>
                </c:pt>
                <c:pt idx="236">
                  <c:v>-11.004850585072573</c:v>
                </c:pt>
                <c:pt idx="237">
                  <c:v>-11.142733398624939</c:v>
                </c:pt>
                <c:pt idx="238">
                  <c:v>-11.281571980539001</c:v>
                </c:pt>
                <c:pt idx="239">
                  <c:v>-11.421366330814745</c:v>
                </c:pt>
                <c:pt idx="240">
                  <c:v>-11.562116449452185</c:v>
                </c:pt>
                <c:pt idx="241">
                  <c:v>-11.703822336451323</c:v>
                </c:pt>
                <c:pt idx="242">
                  <c:v>-11.846483991812148</c:v>
                </c:pt>
                <c:pt idx="243">
                  <c:v>-11.990101415534664</c:v>
                </c:pt>
                <c:pt idx="244">
                  <c:v>-12.134674607618873</c:v>
                </c:pt>
                <c:pt idx="245">
                  <c:v>-12.280203568064771</c:v>
                </c:pt>
                <c:pt idx="246">
                  <c:v>-12.426688296872362</c:v>
                </c:pt>
                <c:pt idx="247">
                  <c:v>-12.574128794041647</c:v>
                </c:pt>
                <c:pt idx="248">
                  <c:v>-12.72252505957262</c:v>
                </c:pt>
                <c:pt idx="249">
                  <c:v>-12.871877093465281</c:v>
                </c:pt>
                <c:pt idx="250">
                  <c:v>-13.022184895719642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FDA-433F-BAD5-5484125208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528208"/>
        <c:axId val="1"/>
      </c:scatterChart>
      <c:valAx>
        <c:axId val="513528208"/>
        <c:scaling>
          <c:orientation val="minMax"/>
          <c:max val="135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Airspeed (knots)</a:t>
                </a:r>
              </a:p>
            </c:rich>
          </c:tx>
          <c:layout>
            <c:manualLayout>
              <c:xMode val="edge"/>
              <c:yMode val="edge"/>
              <c:x val="0.45960270194652064"/>
              <c:y val="0.9221311749439141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in"/>
        <c:tickLblPos val="high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  <c:majorUnit val="5"/>
        <c:minorUnit val="1"/>
      </c:valAx>
      <c:valAx>
        <c:axId val="1"/>
        <c:scaling>
          <c:orientation val="minMax"/>
          <c:max val="5"/>
          <c:min val="-1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Sink (knots)</a:t>
                </a:r>
              </a:p>
            </c:rich>
          </c:tx>
          <c:layout>
            <c:manualLayout>
              <c:xMode val="edge"/>
              <c:yMode val="edge"/>
              <c:x val="2.1192027392515023E-2"/>
              <c:y val="0.4856557427528263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1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13528208"/>
        <c:crosses val="autoZero"/>
        <c:crossBetween val="midCat"/>
        <c:majorUnit val="1"/>
        <c:minorUnit val="0.2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0" verticalDpi="0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12700</xdr:colOff>
      <xdr:row>0</xdr:row>
      <xdr:rowOff>0</xdr:rowOff>
    </xdr:from>
    <xdr:to>
      <xdr:col>28</xdr:col>
      <xdr:colOff>374650</xdr:colOff>
      <xdr:row>27</xdr:row>
      <xdr:rowOff>107950</xdr:rowOff>
    </xdr:to>
    <xdr:graphicFrame macro="">
      <xdr:nvGraphicFramePr>
        <xdr:cNvPr id="1200" name="Chart 5">
          <a:extLst>
            <a:ext uri="{FF2B5EF4-FFF2-40B4-BE49-F238E27FC236}">
              <a16:creationId xmlns:a16="http://schemas.microsoft.com/office/drawing/2014/main" id="{354B1693-2801-4B82-8B47-73D9C5F29A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12700</xdr:colOff>
      <xdr:row>27</xdr:row>
      <xdr:rowOff>101600</xdr:rowOff>
    </xdr:from>
    <xdr:to>
      <xdr:col>28</xdr:col>
      <xdr:colOff>374650</xdr:colOff>
      <xdr:row>56</xdr:row>
      <xdr:rowOff>44450</xdr:rowOff>
    </xdr:to>
    <xdr:graphicFrame macro="">
      <xdr:nvGraphicFramePr>
        <xdr:cNvPr id="1201" name="Chart 6">
          <a:extLst>
            <a:ext uri="{FF2B5EF4-FFF2-40B4-BE49-F238E27FC236}">
              <a16:creationId xmlns:a16="http://schemas.microsoft.com/office/drawing/2014/main" id="{1D86CB9C-8F92-4A67-8AD5-8D8C735DF9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CQ253"/>
  <sheetViews>
    <sheetView showGridLines="0" tabSelected="1" zoomScale="70" zoomScaleNormal="70" workbookViewId="0">
      <selection activeCell="B8" sqref="B8"/>
    </sheetView>
  </sheetViews>
  <sheetFormatPr defaultRowHeight="12.5" x14ac:dyDescent="0.25"/>
  <cols>
    <col min="1" max="1" width="55.26953125" customWidth="1"/>
    <col min="2" max="2" width="12.7265625" bestFit="1" customWidth="1"/>
    <col min="3" max="3" width="11.7265625" bestFit="1" customWidth="1"/>
    <col min="4" max="4" width="1.1796875" customWidth="1"/>
    <col min="5" max="6" width="5.453125" customWidth="1"/>
    <col min="7" max="7" width="1.1796875" customWidth="1"/>
    <col min="8" max="8" width="7.81640625" customWidth="1"/>
    <col min="9" max="9" width="6.1796875" bestFit="1" customWidth="1"/>
    <col min="10" max="12" width="5.54296875" customWidth="1"/>
    <col min="13" max="18" width="7.26953125" customWidth="1"/>
    <col min="19" max="19" width="5.54296875" customWidth="1"/>
    <col min="20" max="25" width="3.26953125" customWidth="1"/>
    <col min="26" max="29" width="5.54296875" customWidth="1"/>
    <col min="30" max="30" width="2.08984375" customWidth="1"/>
    <col min="31" max="31" width="12.90625" customWidth="1"/>
    <col min="32" max="32" width="26.7265625" customWidth="1"/>
    <col min="33" max="33" width="4.6328125" customWidth="1"/>
    <col min="34" max="34" width="3.7265625" customWidth="1"/>
    <col min="44" max="44" width="8.1796875" customWidth="1"/>
    <col min="45" max="45" width="2.36328125" customWidth="1"/>
    <col min="46" max="46" width="12.90625" customWidth="1"/>
    <col min="47" max="47" width="26.7265625" customWidth="1"/>
    <col min="48" max="48" width="4.6328125" customWidth="1"/>
    <col min="49" max="49" width="3.7265625" customWidth="1"/>
    <col min="59" max="59" width="8.1796875" customWidth="1"/>
    <col min="60" max="60" width="19.6328125" customWidth="1"/>
    <col min="61" max="61" width="12.90625" customWidth="1"/>
    <col min="62" max="62" width="26.7265625" customWidth="1"/>
    <col min="63" max="63" width="4.6328125" customWidth="1"/>
    <col min="64" max="64" width="3.7265625" customWidth="1"/>
    <col min="69" max="69" width="9.453125" bestFit="1" customWidth="1"/>
    <col min="74" max="74" width="8.1796875" customWidth="1"/>
    <col min="75" max="75" width="2.6328125" customWidth="1"/>
    <col min="76" max="76" width="12.90625" customWidth="1"/>
    <col min="77" max="77" width="26.7265625" customWidth="1"/>
    <col min="78" max="78" width="4.6328125" customWidth="1"/>
    <col min="79" max="79" width="3.7265625" customWidth="1"/>
    <col min="89" max="90" width="8.1796875" customWidth="1"/>
    <col min="91" max="91" width="8.26953125" style="2" bestFit="1" customWidth="1"/>
    <col min="92" max="92" width="12.54296875" style="2" bestFit="1" customWidth="1"/>
    <col min="93" max="94" width="9.1796875" style="2" customWidth="1"/>
    <col min="95" max="95" width="3.81640625" customWidth="1"/>
  </cols>
  <sheetData>
    <row r="1" spans="1:95" ht="18" x14ac:dyDescent="0.4">
      <c r="A1" s="208" t="s">
        <v>151</v>
      </c>
      <c r="B1" s="183"/>
      <c r="C1" s="183"/>
      <c r="D1" s="183"/>
      <c r="E1" s="183"/>
      <c r="F1" s="183"/>
      <c r="G1" s="183"/>
      <c r="H1" s="183"/>
      <c r="I1" s="209"/>
      <c r="AE1" s="203" t="s">
        <v>173</v>
      </c>
      <c r="AF1" s="204"/>
      <c r="AG1" s="204"/>
      <c r="AH1" s="204"/>
      <c r="AI1" s="204"/>
      <c r="AJ1" s="204"/>
      <c r="AK1" s="204"/>
      <c r="AL1" s="204"/>
      <c r="AM1" s="204"/>
      <c r="AN1" s="204"/>
      <c r="AO1" s="204"/>
      <c r="AP1" s="204"/>
      <c r="AQ1" s="204"/>
      <c r="AR1" s="205"/>
      <c r="AT1" s="203" t="s">
        <v>173</v>
      </c>
      <c r="AU1" s="204"/>
      <c r="AV1" s="204"/>
      <c r="AW1" s="204"/>
      <c r="AX1" s="204"/>
      <c r="AY1" s="204"/>
      <c r="AZ1" s="204"/>
      <c r="BA1" s="204"/>
      <c r="BB1" s="204"/>
      <c r="BC1" s="204"/>
      <c r="BD1" s="204"/>
      <c r="BE1" s="204"/>
      <c r="BF1" s="204"/>
      <c r="BG1" s="205"/>
      <c r="BI1" s="225" t="s">
        <v>173</v>
      </c>
      <c r="BJ1" s="226"/>
      <c r="BK1" s="226"/>
      <c r="BL1" s="226"/>
      <c r="BM1" s="226"/>
      <c r="BN1" s="226"/>
      <c r="BO1" s="226"/>
      <c r="BP1" s="226"/>
      <c r="BQ1" s="226"/>
      <c r="BR1" s="226"/>
      <c r="BS1" s="226"/>
      <c r="BT1" s="226"/>
      <c r="BU1" s="226"/>
      <c r="BV1" s="227"/>
      <c r="BX1" s="225" t="s">
        <v>173</v>
      </c>
      <c r="BY1" s="226"/>
      <c r="BZ1" s="226"/>
      <c r="CA1" s="226"/>
      <c r="CB1" s="226"/>
      <c r="CC1" s="226"/>
      <c r="CD1" s="226"/>
      <c r="CE1" s="226"/>
      <c r="CF1" s="226"/>
      <c r="CG1" s="226"/>
      <c r="CH1" s="226"/>
      <c r="CI1" s="226"/>
      <c r="CJ1" s="226"/>
      <c r="CK1" s="227"/>
      <c r="CL1" s="206"/>
      <c r="CM1" s="195" t="s">
        <v>3</v>
      </c>
      <c r="CN1" s="195" t="s">
        <v>4</v>
      </c>
      <c r="CO1" s="195" t="s">
        <v>3</v>
      </c>
      <c r="CP1" s="195" t="s">
        <v>4</v>
      </c>
      <c r="CQ1" s="2"/>
    </row>
    <row r="2" spans="1:95" ht="15.5" x14ac:dyDescent="0.35">
      <c r="A2" s="210" t="s">
        <v>91</v>
      </c>
      <c r="B2" s="16"/>
      <c r="C2" s="16"/>
      <c r="D2" s="16"/>
      <c r="E2" s="16"/>
      <c r="F2" s="16"/>
      <c r="G2" s="16"/>
      <c r="H2" s="16"/>
      <c r="I2" s="167"/>
      <c r="AE2" s="222" t="s">
        <v>174</v>
      </c>
      <c r="AF2" s="223"/>
      <c r="AG2" s="223"/>
      <c r="AH2" s="223"/>
      <c r="AI2" s="223"/>
      <c r="AJ2" s="223"/>
      <c r="AK2" s="223"/>
      <c r="AL2" s="223"/>
      <c r="AM2" s="223"/>
      <c r="AN2" s="223"/>
      <c r="AO2" s="223"/>
      <c r="AP2" s="223"/>
      <c r="AQ2" s="223"/>
      <c r="AR2" s="224"/>
      <c r="AT2" s="228" t="s">
        <v>175</v>
      </c>
      <c r="AU2" s="229"/>
      <c r="AV2" s="229"/>
      <c r="AW2" s="229"/>
      <c r="AX2" s="229"/>
      <c r="AY2" s="229"/>
      <c r="AZ2" s="229"/>
      <c r="BA2" s="229"/>
      <c r="BB2" s="229"/>
      <c r="BC2" s="229"/>
      <c r="BD2" s="229"/>
      <c r="BE2" s="229"/>
      <c r="BF2" s="229"/>
      <c r="BG2" s="230"/>
      <c r="BI2" s="222" t="s">
        <v>174</v>
      </c>
      <c r="BJ2" s="223"/>
      <c r="BK2" s="223"/>
      <c r="BL2" s="223"/>
      <c r="BM2" s="223"/>
      <c r="BN2" s="223"/>
      <c r="BO2" s="223"/>
      <c r="BP2" s="223"/>
      <c r="BQ2" s="223"/>
      <c r="BR2" s="223"/>
      <c r="BS2" s="223"/>
      <c r="BT2" s="223"/>
      <c r="BU2" s="223"/>
      <c r="BV2" s="224"/>
      <c r="BX2" s="228" t="s">
        <v>175</v>
      </c>
      <c r="BY2" s="229"/>
      <c r="BZ2" s="229"/>
      <c r="CA2" s="229"/>
      <c r="CB2" s="229"/>
      <c r="CC2" s="229"/>
      <c r="CD2" s="229"/>
      <c r="CE2" s="229"/>
      <c r="CF2" s="229"/>
      <c r="CG2" s="229"/>
      <c r="CH2" s="229"/>
      <c r="CI2" s="229"/>
      <c r="CJ2" s="229"/>
      <c r="CK2" s="230"/>
      <c r="CL2" s="47"/>
      <c r="CM2" s="196" t="s">
        <v>5</v>
      </c>
      <c r="CN2" s="196" t="s">
        <v>6</v>
      </c>
      <c r="CO2" s="196" t="s">
        <v>10</v>
      </c>
      <c r="CP2" s="196" t="s">
        <v>10</v>
      </c>
      <c r="CQ2" s="2"/>
    </row>
    <row r="3" spans="1:95" ht="15.5" x14ac:dyDescent="0.35">
      <c r="A3" s="211" t="s">
        <v>176</v>
      </c>
      <c r="B3" s="16"/>
      <c r="C3" s="16"/>
      <c r="D3" s="16"/>
      <c r="E3" s="16"/>
      <c r="F3" s="16"/>
      <c r="G3" s="16"/>
      <c r="H3" s="16"/>
      <c r="I3" s="167"/>
      <c r="AE3" s="219" t="str">
        <f>Glider&amp;", "&amp;ID&amp;", "&amp;AllUpWeightWetKg&amp;" kg, ("&amp;ROUND(AllUpWeightWetLb,0)&amp;" Lb), Ballast: "&amp;Ballast&amp;" Liters, "&amp;ROUND(WingLoadingKg,2)&amp;" kg/m², ("&amp;ROUND(WingLoadingLb,2)&amp;" Lb/ft²)"</f>
        <v>DG-1000S, N429FH, 579 kg, (1277 Lb), Ballast: 0 Liters, 33.03 kg/m², (6.77 Lb/ft²)</v>
      </c>
      <c r="AF3" s="220"/>
      <c r="AG3" s="220"/>
      <c r="AH3" s="220"/>
      <c r="AI3" s="220"/>
      <c r="AJ3" s="220"/>
      <c r="AK3" s="220"/>
      <c r="AL3" s="220"/>
      <c r="AM3" s="220"/>
      <c r="AN3" s="220"/>
      <c r="AO3" s="220"/>
      <c r="AP3" s="220"/>
      <c r="AQ3" s="220"/>
      <c r="AR3" s="221"/>
      <c r="AT3" s="219" t="str">
        <f>Glider&amp;", "&amp;ID&amp;", "&amp;AllUpWeightWetKg&amp;" kg, ("&amp;ROUND(AllUpWeightWetLb,0)&amp;" Lb), Ballast: "&amp;Ballast&amp;" Liters, "&amp;ROUND(WingLoadingKg,2)&amp;" kg/m², ("&amp;ROUND(WingLoadingLb,2)&amp;" Lb/ft²)"</f>
        <v>DG-1000S, N429FH, 579 kg, (1277 Lb), Ballast: 0 Liters, 33.03 kg/m², (6.77 Lb/ft²)</v>
      </c>
      <c r="AU3" s="220"/>
      <c r="AV3" s="220"/>
      <c r="AW3" s="220"/>
      <c r="AX3" s="220"/>
      <c r="AY3" s="220"/>
      <c r="AZ3" s="220"/>
      <c r="BA3" s="220"/>
      <c r="BB3" s="220"/>
      <c r="BC3" s="220"/>
      <c r="BD3" s="220"/>
      <c r="BE3" s="220"/>
      <c r="BF3" s="220"/>
      <c r="BG3" s="221"/>
      <c r="BI3" s="219" t="str">
        <f>Glider&amp;", "&amp;ID&amp;", "&amp;AllUpWeightWetKg&amp;" kg, ("&amp;ROUND(AllUpWeightWetLb,0)&amp;" Lb), Ballast: "&amp;Ballast&amp;" Liters, "&amp;ROUND(WingLoadingKg,2)&amp;" kg/m², ("&amp;ROUND(WingLoadingLb,2)&amp;" Lb/ft²)"</f>
        <v>DG-1000S, N429FH, 579 kg, (1277 Lb), Ballast: 0 Liters, 33.03 kg/m², (6.77 Lb/ft²)</v>
      </c>
      <c r="BJ3" s="220"/>
      <c r="BK3" s="220"/>
      <c r="BL3" s="220"/>
      <c r="BM3" s="220"/>
      <c r="BN3" s="220"/>
      <c r="BO3" s="220"/>
      <c r="BP3" s="220"/>
      <c r="BQ3" s="220"/>
      <c r="BR3" s="220"/>
      <c r="BS3" s="220"/>
      <c r="BT3" s="220"/>
      <c r="BU3" s="220"/>
      <c r="BV3" s="221"/>
      <c r="BX3" s="219" t="str">
        <f>Glider&amp;", "&amp;ID&amp;", "&amp;AllUpWeightWetKg&amp;" kg, ("&amp;ROUND(AllUpWeightWetLb,0)&amp;" Lb), Ballast: "&amp;Ballast&amp;" Liters, "&amp;ROUND(WingLoadingKg,2)&amp;" kg/m², ("&amp;ROUND(WingLoadingLb,2)&amp;" Lb/ft²)"</f>
        <v>DG-1000S, N429FH, 579 kg, (1277 Lb), Ballast: 0 Liters, 33.03 kg/m², (6.77 Lb/ft²)</v>
      </c>
      <c r="BY3" s="220"/>
      <c r="BZ3" s="220"/>
      <c r="CA3" s="220"/>
      <c r="CB3" s="220"/>
      <c r="CC3" s="220"/>
      <c r="CD3" s="220"/>
      <c r="CE3" s="220"/>
      <c r="CF3" s="220"/>
      <c r="CG3" s="220"/>
      <c r="CH3" s="220"/>
      <c r="CI3" s="220"/>
      <c r="CJ3" s="220"/>
      <c r="CK3" s="221"/>
      <c r="CL3" s="47"/>
      <c r="CM3" s="195">
        <v>0</v>
      </c>
      <c r="CN3" s="195">
        <f t="shared" ref="CN3:CN66" si="0">(aRprime*CM3^2+bRprime*CM3+cRprime+Wm)/3.6</f>
        <v>-2.6735110471594723</v>
      </c>
      <c r="CO3" s="195">
        <f>CM3/1.8532</f>
        <v>0</v>
      </c>
      <c r="CP3" s="195">
        <f>CN3/1.8532*3600/1000</f>
        <v>-5.1935245897766569</v>
      </c>
    </row>
    <row r="4" spans="1:95" ht="16" thickBot="1" x14ac:dyDescent="0.4">
      <c r="A4" s="212" t="s">
        <v>179</v>
      </c>
      <c r="B4" s="171"/>
      <c r="C4" s="171"/>
      <c r="D4" s="171"/>
      <c r="E4" s="171"/>
      <c r="F4" s="171"/>
      <c r="G4" s="171"/>
      <c r="H4" s="171"/>
      <c r="I4" s="172"/>
      <c r="AE4" s="53" t="s">
        <v>27</v>
      </c>
      <c r="AF4" s="46"/>
      <c r="AG4" s="47" t="s">
        <v>28</v>
      </c>
      <c r="AH4" s="48"/>
      <c r="AI4" s="202"/>
      <c r="AJ4" s="46"/>
      <c r="AK4" s="48"/>
      <c r="AL4" s="48"/>
      <c r="AM4" s="47"/>
      <c r="AN4" s="48"/>
      <c r="AO4" s="48"/>
      <c r="AP4" s="48"/>
      <c r="AQ4" s="48"/>
      <c r="AR4" s="55"/>
      <c r="AT4" s="53" t="s">
        <v>27</v>
      </c>
      <c r="AU4" s="46"/>
      <c r="AV4" s="47" t="s">
        <v>28</v>
      </c>
      <c r="AW4" s="48"/>
      <c r="AX4" s="202"/>
      <c r="AY4" s="46"/>
      <c r="AZ4" s="48"/>
      <c r="BA4" s="48"/>
      <c r="BB4" s="47"/>
      <c r="BC4" s="48"/>
      <c r="BD4" s="48"/>
      <c r="BE4" s="48"/>
      <c r="BF4" s="48"/>
      <c r="BG4" s="55"/>
      <c r="BI4" s="45" t="s">
        <v>27</v>
      </c>
      <c r="BJ4" s="46"/>
      <c r="BK4" s="47" t="s">
        <v>28</v>
      </c>
      <c r="BL4" s="48"/>
      <c r="BM4" s="49"/>
      <c r="BN4" s="46"/>
      <c r="BO4" s="50"/>
      <c r="BP4" s="50"/>
      <c r="BQ4" s="51"/>
      <c r="BR4" s="50"/>
      <c r="BS4" s="50"/>
      <c r="BT4" s="50"/>
      <c r="BU4" s="50"/>
      <c r="BV4" s="52"/>
      <c r="BX4" s="45" t="s">
        <v>27</v>
      </c>
      <c r="BY4" s="46"/>
      <c r="BZ4" s="47" t="s">
        <v>28</v>
      </c>
      <c r="CA4" s="48"/>
      <c r="CB4" s="49"/>
      <c r="CC4" s="46"/>
      <c r="CD4" s="50"/>
      <c r="CE4" s="50"/>
      <c r="CF4" s="51"/>
      <c r="CG4" s="50"/>
      <c r="CH4" s="50"/>
      <c r="CI4" s="50"/>
      <c r="CJ4" s="50"/>
      <c r="CK4" s="52"/>
      <c r="CL4" s="47"/>
      <c r="CM4" s="197">
        <v>1</v>
      </c>
      <c r="CN4" s="197">
        <f t="shared" si="0"/>
        <v>-2.6283760935744769</v>
      </c>
      <c r="CO4" s="197">
        <f t="shared" ref="CO4:CO67" si="1">CM4/1.8532</f>
        <v>0.53960716598316427</v>
      </c>
      <c r="CP4" s="197">
        <f t="shared" ref="CP4:CP67" si="2">CN4/1.8532*3600/1000</f>
        <v>-5.1058460699698456</v>
      </c>
    </row>
    <row r="5" spans="1:95" ht="15.5" x14ac:dyDescent="0.35">
      <c r="A5" s="218" t="s">
        <v>90</v>
      </c>
      <c r="B5" s="16"/>
      <c r="C5" s="16"/>
      <c r="D5" s="16"/>
      <c r="E5" s="16"/>
      <c r="F5" s="16"/>
      <c r="G5" s="16"/>
      <c r="H5" s="16"/>
      <c r="I5" s="167"/>
      <c r="AE5" s="53" t="s">
        <v>121</v>
      </c>
      <c r="AF5" s="54"/>
      <c r="AG5" s="48" t="s">
        <v>122</v>
      </c>
      <c r="AH5" s="47"/>
      <c r="AI5" s="48"/>
      <c r="AJ5" s="48"/>
      <c r="AK5" s="48"/>
      <c r="AL5" s="48"/>
      <c r="AM5" s="47"/>
      <c r="AN5" s="48"/>
      <c r="AO5" s="48"/>
      <c r="AP5" s="48"/>
      <c r="AQ5" s="48"/>
      <c r="AR5" s="55"/>
      <c r="AT5" s="53" t="s">
        <v>121</v>
      </c>
      <c r="AU5" s="54"/>
      <c r="AV5" s="48" t="s">
        <v>122</v>
      </c>
      <c r="AW5" s="47"/>
      <c r="AX5" s="48"/>
      <c r="AY5" s="48"/>
      <c r="AZ5" s="48"/>
      <c r="BA5" s="48"/>
      <c r="BB5" s="47"/>
      <c r="BC5" s="48"/>
      <c r="BD5" s="48"/>
      <c r="BE5" s="48"/>
      <c r="BF5" s="48"/>
      <c r="BG5" s="55"/>
      <c r="BI5" s="53" t="s">
        <v>121</v>
      </c>
      <c r="BJ5" s="54"/>
      <c r="BK5" s="48" t="s">
        <v>122</v>
      </c>
      <c r="BM5" s="48"/>
      <c r="BN5" s="48"/>
      <c r="BO5" s="48"/>
      <c r="BP5" s="48"/>
      <c r="BQ5" s="47"/>
      <c r="BR5" s="48"/>
      <c r="BS5" s="48"/>
      <c r="BT5" s="48"/>
      <c r="BU5" s="48"/>
      <c r="BV5" s="55"/>
      <c r="BX5" s="53" t="s">
        <v>121</v>
      </c>
      <c r="BY5" s="54"/>
      <c r="BZ5" s="48" t="s">
        <v>122</v>
      </c>
      <c r="CB5" s="48"/>
      <c r="CC5" s="48"/>
      <c r="CD5" s="48"/>
      <c r="CE5" s="48"/>
      <c r="CF5" s="47"/>
      <c r="CG5" s="48"/>
      <c r="CH5" s="48"/>
      <c r="CI5" s="48"/>
      <c r="CJ5" s="48"/>
      <c r="CK5" s="55"/>
      <c r="CL5" s="47"/>
      <c r="CM5" s="197">
        <v>2</v>
      </c>
      <c r="CN5" s="197">
        <f t="shared" si="0"/>
        <v>-2.5837331483027826</v>
      </c>
      <c r="CO5" s="197">
        <f t="shared" si="1"/>
        <v>1.0792143319663285</v>
      </c>
      <c r="CP5" s="197">
        <f t="shared" si="2"/>
        <v>-5.0191233185247235</v>
      </c>
    </row>
    <row r="6" spans="1:95" ht="16" thickBot="1" x14ac:dyDescent="0.4">
      <c r="A6" s="212" t="s">
        <v>89</v>
      </c>
      <c r="B6" s="171"/>
      <c r="C6" s="171"/>
      <c r="D6" s="171"/>
      <c r="E6" s="171"/>
      <c r="F6" s="171"/>
      <c r="G6" s="171"/>
      <c r="H6" s="171"/>
      <c r="I6" s="172"/>
      <c r="AE6" s="56"/>
      <c r="AF6" s="54"/>
      <c r="AG6" s="48" t="s">
        <v>44</v>
      </c>
      <c r="AH6" s="48"/>
      <c r="AI6" s="47"/>
      <c r="AJ6" s="47"/>
      <c r="AK6" s="47"/>
      <c r="AL6" s="47"/>
      <c r="AM6" s="47"/>
      <c r="AN6" s="47"/>
      <c r="AO6" s="47"/>
      <c r="AP6" s="47"/>
      <c r="AQ6" s="47"/>
      <c r="AR6" s="55"/>
      <c r="AT6" s="56"/>
      <c r="AU6" s="54"/>
      <c r="AV6" s="48" t="s">
        <v>44</v>
      </c>
      <c r="AW6" s="48"/>
      <c r="AX6" s="47"/>
      <c r="AY6" s="47"/>
      <c r="AZ6" s="47"/>
      <c r="BA6" s="47"/>
      <c r="BB6" s="47"/>
      <c r="BC6" s="47"/>
      <c r="BD6" s="47"/>
      <c r="BE6" s="47"/>
      <c r="BF6" s="47"/>
      <c r="BG6" s="55"/>
      <c r="BI6" s="56"/>
      <c r="BJ6" s="54"/>
      <c r="BK6" s="48" t="s">
        <v>171</v>
      </c>
      <c r="BL6" s="47"/>
      <c r="BM6" s="47"/>
      <c r="BN6" s="47"/>
      <c r="BO6" s="47"/>
      <c r="BP6" s="47"/>
      <c r="BQ6" s="47"/>
      <c r="BR6" s="47"/>
      <c r="BS6" s="47"/>
      <c r="BT6" s="47"/>
      <c r="BU6" s="47"/>
      <c r="BV6" s="55"/>
      <c r="BX6" s="56"/>
      <c r="BY6" s="54"/>
      <c r="BZ6" s="48" t="s">
        <v>171</v>
      </c>
      <c r="CA6" s="47"/>
      <c r="CB6" s="47"/>
      <c r="CC6" s="47"/>
      <c r="CD6" s="47"/>
      <c r="CE6" s="47"/>
      <c r="CF6" s="47"/>
      <c r="CG6" s="47"/>
      <c r="CH6" s="47"/>
      <c r="CI6" s="47"/>
      <c r="CJ6" s="47"/>
      <c r="CK6" s="55"/>
      <c r="CL6" s="47"/>
      <c r="CM6" s="197">
        <v>3</v>
      </c>
      <c r="CN6" s="197">
        <f t="shared" si="0"/>
        <v>-2.5395822113443907</v>
      </c>
      <c r="CO6" s="197">
        <f t="shared" si="1"/>
        <v>1.6188214979494928</v>
      </c>
      <c r="CP6" s="197">
        <f t="shared" si="2"/>
        <v>-4.9333563354412941</v>
      </c>
    </row>
    <row r="7" spans="1:95" ht="15.5" customHeight="1" thickBot="1" x14ac:dyDescent="0.4">
      <c r="A7" s="213" t="s">
        <v>92</v>
      </c>
      <c r="B7" s="214"/>
      <c r="C7" s="215" t="s">
        <v>93</v>
      </c>
      <c r="D7" s="216"/>
      <c r="E7" s="216"/>
      <c r="F7" s="216"/>
      <c r="G7" s="216"/>
      <c r="H7" s="216"/>
      <c r="I7" s="217"/>
      <c r="AE7" s="57"/>
      <c r="AF7" s="54"/>
      <c r="AG7" s="48" t="s">
        <v>45</v>
      </c>
      <c r="AH7" s="48"/>
      <c r="AI7" s="48"/>
      <c r="AJ7" s="48"/>
      <c r="AK7" s="48"/>
      <c r="AL7" s="48"/>
      <c r="AM7" s="47"/>
      <c r="AN7" s="48"/>
      <c r="AO7" s="48"/>
      <c r="AP7" s="48"/>
      <c r="AQ7" s="48"/>
      <c r="AR7" s="55"/>
      <c r="AT7" s="57"/>
      <c r="AU7" s="54"/>
      <c r="AV7" s="48" t="s">
        <v>45</v>
      </c>
      <c r="AW7" s="48"/>
      <c r="AX7" s="48"/>
      <c r="AY7" s="48"/>
      <c r="AZ7" s="48"/>
      <c r="BA7" s="48"/>
      <c r="BB7" s="47"/>
      <c r="BC7" s="48"/>
      <c r="BD7" s="48"/>
      <c r="BE7" s="48"/>
      <c r="BF7" s="48"/>
      <c r="BG7" s="55"/>
      <c r="BI7" s="57"/>
      <c r="BJ7" s="54"/>
      <c r="BK7" s="48" t="s">
        <v>172</v>
      </c>
      <c r="BL7" s="48"/>
      <c r="BM7" s="48"/>
      <c r="BN7" s="48"/>
      <c r="BO7" s="48"/>
      <c r="BP7" s="48"/>
      <c r="BQ7" s="47"/>
      <c r="BR7" s="48"/>
      <c r="BS7" s="48"/>
      <c r="BT7" s="48"/>
      <c r="BU7" s="48"/>
      <c r="BV7" s="55"/>
      <c r="BX7" s="57"/>
      <c r="BY7" s="54"/>
      <c r="BZ7" s="48" t="s">
        <v>172</v>
      </c>
      <c r="CA7" s="48"/>
      <c r="CB7" s="48"/>
      <c r="CC7" s="48"/>
      <c r="CD7" s="48"/>
      <c r="CE7" s="48"/>
      <c r="CF7" s="47"/>
      <c r="CG7" s="48"/>
      <c r="CH7" s="48"/>
      <c r="CI7" s="48"/>
      <c r="CJ7" s="48"/>
      <c r="CK7" s="55"/>
      <c r="CL7" s="47"/>
      <c r="CM7" s="197">
        <v>4</v>
      </c>
      <c r="CN7" s="197">
        <f t="shared" si="0"/>
        <v>-2.4959232826993003</v>
      </c>
      <c r="CO7" s="197">
        <f t="shared" si="1"/>
        <v>2.1584286639326571</v>
      </c>
      <c r="CP7" s="197">
        <f t="shared" si="2"/>
        <v>-4.8485451207195558</v>
      </c>
    </row>
    <row r="8" spans="1:95" ht="16" thickBot="1" x14ac:dyDescent="0.4">
      <c r="A8" s="132" t="s">
        <v>120</v>
      </c>
      <c r="B8" s="173">
        <v>1</v>
      </c>
      <c r="C8" s="174" t="str">
        <f>IF(Method="C","Cambridge",IF(Method="R","Reichmann",IF(Method="N","Naviter/LXNAV","&lt;&lt;&lt; Enter: 1, 2, or 3")))</f>
        <v>Cambridge</v>
      </c>
      <c r="D8" s="128"/>
      <c r="E8" s="128"/>
      <c r="F8" s="128"/>
      <c r="G8" s="128"/>
      <c r="H8" s="128"/>
      <c r="I8" s="133"/>
      <c r="AE8" s="53"/>
      <c r="AF8" s="54"/>
      <c r="AG8" s="48" t="s">
        <v>46</v>
      </c>
      <c r="AH8" s="48"/>
      <c r="AI8" s="48"/>
      <c r="AJ8" s="48"/>
      <c r="AK8" s="48"/>
      <c r="AL8" s="48"/>
      <c r="AM8" s="47"/>
      <c r="AN8" s="48"/>
      <c r="AO8" s="48"/>
      <c r="AP8" s="48"/>
      <c r="AQ8" s="48"/>
      <c r="AR8" s="55"/>
      <c r="AT8" s="53"/>
      <c r="AU8" s="54"/>
      <c r="AV8" s="48" t="s">
        <v>46</v>
      </c>
      <c r="AW8" s="48"/>
      <c r="AX8" s="48"/>
      <c r="AY8" s="48"/>
      <c r="AZ8" s="48"/>
      <c r="BA8" s="48"/>
      <c r="BB8" s="47"/>
      <c r="BC8" s="48"/>
      <c r="BD8" s="48"/>
      <c r="BE8" s="48"/>
      <c r="BF8" s="48"/>
      <c r="BG8" s="55"/>
      <c r="BI8" s="53"/>
      <c r="BJ8" s="54"/>
      <c r="BK8" s="48" t="s">
        <v>46</v>
      </c>
      <c r="BL8" s="48"/>
      <c r="BM8" s="48"/>
      <c r="BN8" s="48"/>
      <c r="BO8" s="48"/>
      <c r="BP8" s="48"/>
      <c r="BQ8" s="47"/>
      <c r="BR8" s="48"/>
      <c r="BS8" s="48"/>
      <c r="BT8" s="48"/>
      <c r="BU8" s="48"/>
      <c r="BV8" s="55"/>
      <c r="BX8" s="53"/>
      <c r="BY8" s="54"/>
      <c r="BZ8" s="48" t="s">
        <v>46</v>
      </c>
      <c r="CA8" s="48"/>
      <c r="CB8" s="48"/>
      <c r="CC8" s="48"/>
      <c r="CD8" s="48"/>
      <c r="CE8" s="48"/>
      <c r="CF8" s="47"/>
      <c r="CG8" s="48"/>
      <c r="CH8" s="48"/>
      <c r="CI8" s="48"/>
      <c r="CJ8" s="48"/>
      <c r="CK8" s="55"/>
      <c r="CL8" s="47"/>
      <c r="CM8" s="197">
        <v>5</v>
      </c>
      <c r="CN8" s="197">
        <f t="shared" si="0"/>
        <v>-2.4527563623675119</v>
      </c>
      <c r="CO8" s="197">
        <f t="shared" si="1"/>
        <v>2.6980358299158214</v>
      </c>
      <c r="CP8" s="197">
        <f t="shared" si="2"/>
        <v>-4.7646896743595102</v>
      </c>
    </row>
    <row r="9" spans="1:95" ht="15.5" x14ac:dyDescent="0.35">
      <c r="A9" s="153" t="str">
        <f>IF(Method="C","Cambridge Method - Selected - Use purple cells below for polar entry.","Cambridge Method - NOT Selected - Data in purple cells below is NOT used.")</f>
        <v>Cambridge Method - Selected - Use purple cells below for polar entry.</v>
      </c>
      <c r="B9" s="154"/>
      <c r="C9" s="154"/>
      <c r="D9" s="154"/>
      <c r="E9" s="154"/>
      <c r="F9" s="154"/>
      <c r="G9" s="154"/>
      <c r="H9" s="154"/>
      <c r="I9" s="155"/>
      <c r="AE9" s="58" t="s">
        <v>29</v>
      </c>
      <c r="AF9" s="54"/>
      <c r="AG9" s="48" t="s">
        <v>47</v>
      </c>
      <c r="AH9" s="48"/>
      <c r="AI9" s="48"/>
      <c r="AJ9" s="48"/>
      <c r="AK9" s="48"/>
      <c r="AL9" s="48"/>
      <c r="AM9" s="47"/>
      <c r="AN9" s="48"/>
      <c r="AO9" s="48"/>
      <c r="AP9" s="48"/>
      <c r="AQ9" s="48"/>
      <c r="AR9" s="55"/>
      <c r="AT9" s="58" t="s">
        <v>29</v>
      </c>
      <c r="AU9" s="54"/>
      <c r="AV9" s="48" t="s">
        <v>47</v>
      </c>
      <c r="AW9" s="48"/>
      <c r="AX9" s="48"/>
      <c r="AY9" s="48"/>
      <c r="AZ9" s="48"/>
      <c r="BA9" s="48"/>
      <c r="BB9" s="47"/>
      <c r="BC9" s="48"/>
      <c r="BD9" s="48"/>
      <c r="BE9" s="48"/>
      <c r="BF9" s="48"/>
      <c r="BG9" s="55"/>
      <c r="BI9" s="58" t="s">
        <v>29</v>
      </c>
      <c r="BJ9" s="54"/>
      <c r="BK9" s="48" t="s">
        <v>47</v>
      </c>
      <c r="BL9" s="48"/>
      <c r="BM9" s="48"/>
      <c r="BN9" s="48"/>
      <c r="BO9" s="48"/>
      <c r="BP9" s="48"/>
      <c r="BQ9" s="47"/>
      <c r="BR9" s="48"/>
      <c r="BS9" s="48"/>
      <c r="BT9" s="48"/>
      <c r="BU9" s="48"/>
      <c r="BV9" s="55"/>
      <c r="BX9" s="58" t="s">
        <v>29</v>
      </c>
      <c r="BY9" s="54"/>
      <c r="BZ9" s="48" t="s">
        <v>47</v>
      </c>
      <c r="CA9" s="48"/>
      <c r="CB9" s="48"/>
      <c r="CC9" s="48"/>
      <c r="CD9" s="48"/>
      <c r="CE9" s="48"/>
      <c r="CF9" s="47"/>
      <c r="CG9" s="48"/>
      <c r="CH9" s="48"/>
      <c r="CI9" s="48"/>
      <c r="CJ9" s="48"/>
      <c r="CK9" s="55"/>
      <c r="CL9" s="46"/>
      <c r="CM9" s="197">
        <v>6</v>
      </c>
      <c r="CN9" s="197">
        <f t="shared" si="0"/>
        <v>-2.4100814503490251</v>
      </c>
      <c r="CO9" s="197">
        <f t="shared" si="1"/>
        <v>3.2376429958989856</v>
      </c>
      <c r="CP9" s="197">
        <f t="shared" si="2"/>
        <v>-4.6817899963611538</v>
      </c>
    </row>
    <row r="10" spans="1:95" ht="15.5" x14ac:dyDescent="0.35">
      <c r="A10" s="156" t="s">
        <v>66</v>
      </c>
      <c r="B10" s="117">
        <v>47</v>
      </c>
      <c r="C10" s="41"/>
      <c r="D10" s="16"/>
      <c r="E10" s="16"/>
      <c r="F10" s="16"/>
      <c r="G10" s="16"/>
      <c r="H10" s="118">
        <f>-1/B10</f>
        <v>-2.1276595744680851E-2</v>
      </c>
      <c r="I10" s="157"/>
      <c r="AE10" s="53"/>
      <c r="AF10" s="54"/>
      <c r="AG10" s="48" t="s">
        <v>30</v>
      </c>
      <c r="AH10" s="48"/>
      <c r="AI10" s="48"/>
      <c r="AJ10" s="48"/>
      <c r="AK10" s="48"/>
      <c r="AL10" s="48"/>
      <c r="AM10" s="47"/>
      <c r="AN10" s="48"/>
      <c r="AO10" s="48"/>
      <c r="AP10" s="48"/>
      <c r="AQ10" s="48"/>
      <c r="AR10" s="55"/>
      <c r="AT10" s="53"/>
      <c r="AU10" s="54"/>
      <c r="AV10" s="48" t="s">
        <v>30</v>
      </c>
      <c r="AW10" s="48"/>
      <c r="AX10" s="48"/>
      <c r="AY10" s="48"/>
      <c r="AZ10" s="48"/>
      <c r="BA10" s="48"/>
      <c r="BB10" s="47"/>
      <c r="BC10" s="48"/>
      <c r="BD10" s="48"/>
      <c r="BE10" s="48"/>
      <c r="BF10" s="48"/>
      <c r="BG10" s="55"/>
      <c r="BI10" s="53"/>
      <c r="BJ10" s="54"/>
      <c r="BK10" s="48" t="s">
        <v>30</v>
      </c>
      <c r="BL10" s="48"/>
      <c r="BM10" s="48"/>
      <c r="BN10" s="48"/>
      <c r="BO10" s="48"/>
      <c r="BP10" s="48"/>
      <c r="BQ10" s="47"/>
      <c r="BR10" s="48"/>
      <c r="BS10" s="48"/>
      <c r="BT10" s="48"/>
      <c r="BU10" s="48"/>
      <c r="BV10" s="55"/>
      <c r="BX10" s="53"/>
      <c r="BY10" s="54"/>
      <c r="BZ10" s="48" t="s">
        <v>30</v>
      </c>
      <c r="CA10" s="48"/>
      <c r="CB10" s="48"/>
      <c r="CC10" s="48"/>
      <c r="CD10" s="48"/>
      <c r="CE10" s="48"/>
      <c r="CF10" s="47"/>
      <c r="CG10" s="48"/>
      <c r="CH10" s="48"/>
      <c r="CI10" s="48"/>
      <c r="CJ10" s="48"/>
      <c r="CK10" s="55"/>
      <c r="CL10" s="47"/>
      <c r="CM10" s="197">
        <v>7</v>
      </c>
      <c r="CN10" s="197">
        <f t="shared" si="0"/>
        <v>-2.3678985466438403</v>
      </c>
      <c r="CO10" s="197">
        <f t="shared" si="1"/>
        <v>3.7772501618821499</v>
      </c>
      <c r="CP10" s="197">
        <f t="shared" si="2"/>
        <v>-4.5998460867244901</v>
      </c>
    </row>
    <row r="11" spans="1:95" ht="15.5" x14ac:dyDescent="0.35">
      <c r="A11" s="158" t="s">
        <v>67</v>
      </c>
      <c r="B11" s="116">
        <v>96</v>
      </c>
      <c r="C11" s="3" t="s">
        <v>1</v>
      </c>
      <c r="D11" s="16"/>
      <c r="E11" s="16"/>
      <c r="F11" s="16"/>
      <c r="G11" s="16"/>
      <c r="H11" s="4">
        <f>B11*KphToKts</f>
        <v>51.80228793438377</v>
      </c>
      <c r="I11" s="159" t="s">
        <v>8</v>
      </c>
      <c r="AE11" s="100" t="s">
        <v>31</v>
      </c>
      <c r="AF11" s="101"/>
      <c r="AG11" s="102"/>
      <c r="AH11" s="103" t="s">
        <v>32</v>
      </c>
      <c r="AI11" s="111">
        <v>1000</v>
      </c>
      <c r="AJ11" s="102" t="s">
        <v>33</v>
      </c>
      <c r="AK11" s="104"/>
      <c r="AL11" s="105"/>
      <c r="AM11" s="102"/>
      <c r="AN11" s="105"/>
      <c r="AO11" s="105"/>
      <c r="AP11" s="105"/>
      <c r="AQ11" s="105"/>
      <c r="AR11" s="106"/>
      <c r="AT11" s="100" t="s">
        <v>31</v>
      </c>
      <c r="AU11" s="101"/>
      <c r="AV11" s="102"/>
      <c r="AW11" s="103" t="s">
        <v>32</v>
      </c>
      <c r="AX11" s="111">
        <v>1000</v>
      </c>
      <c r="AY11" s="102" t="s">
        <v>33</v>
      </c>
      <c r="AZ11" s="104"/>
      <c r="BA11" s="105"/>
      <c r="BB11" s="102"/>
      <c r="BC11" s="105"/>
      <c r="BD11" s="105"/>
      <c r="BE11" s="105"/>
      <c r="BF11" s="105"/>
      <c r="BG11" s="106"/>
      <c r="BI11" s="100" t="s">
        <v>31</v>
      </c>
      <c r="BJ11" s="101"/>
      <c r="BK11" s="102"/>
      <c r="BL11" s="103" t="s">
        <v>32</v>
      </c>
      <c r="BM11" s="111">
        <v>300</v>
      </c>
      <c r="BN11" s="102" t="s">
        <v>164</v>
      </c>
      <c r="BO11" s="104"/>
      <c r="BP11" s="105"/>
      <c r="BQ11" s="102"/>
      <c r="BR11" s="105"/>
      <c r="BS11" s="105"/>
      <c r="BT11" s="105"/>
      <c r="BU11" s="105"/>
      <c r="BV11" s="106"/>
      <c r="BX11" s="100" t="s">
        <v>31</v>
      </c>
      <c r="BY11" s="101"/>
      <c r="BZ11" s="102"/>
      <c r="CA11" s="103" t="s">
        <v>32</v>
      </c>
      <c r="CB11" s="111">
        <v>300</v>
      </c>
      <c r="CC11" s="102" t="s">
        <v>164</v>
      </c>
      <c r="CD11" s="104"/>
      <c r="CE11" s="105"/>
      <c r="CF11" s="102"/>
      <c r="CG11" s="105"/>
      <c r="CH11" s="105"/>
      <c r="CI11" s="105"/>
      <c r="CJ11" s="105"/>
      <c r="CK11" s="106"/>
      <c r="CL11" s="192"/>
      <c r="CM11" s="197">
        <v>8</v>
      </c>
      <c r="CN11" s="197">
        <f t="shared" si="0"/>
        <v>-2.3262076512519569</v>
      </c>
      <c r="CO11" s="197">
        <f t="shared" si="1"/>
        <v>4.3168573278653142</v>
      </c>
      <c r="CP11" s="197">
        <f t="shared" si="2"/>
        <v>-4.5188579454495175</v>
      </c>
    </row>
    <row r="12" spans="1:95" ht="15.5" x14ac:dyDescent="0.35">
      <c r="A12" s="160" t="s">
        <v>68</v>
      </c>
      <c r="B12" s="120">
        <v>159</v>
      </c>
      <c r="C12" s="36" t="s">
        <v>1</v>
      </c>
      <c r="D12" s="16"/>
      <c r="E12" s="16"/>
      <c r="F12" s="16"/>
      <c r="G12" s="16"/>
      <c r="H12" s="4">
        <f>B12*KphToKts</f>
        <v>85.797539391323113</v>
      </c>
      <c r="I12" s="161" t="s">
        <v>8</v>
      </c>
      <c r="AE12" s="110"/>
      <c r="AF12" s="107"/>
      <c r="AG12" s="104"/>
      <c r="AH12" s="103" t="s">
        <v>48</v>
      </c>
      <c r="AI12" s="111">
        <v>920</v>
      </c>
      <c r="AJ12" s="102" t="s">
        <v>33</v>
      </c>
      <c r="AK12" s="104"/>
      <c r="AL12" s="104"/>
      <c r="AM12" s="108"/>
      <c r="AN12" s="104"/>
      <c r="AO12" s="104"/>
      <c r="AP12" s="104"/>
      <c r="AQ12" s="104"/>
      <c r="AR12" s="109"/>
      <c r="AT12" s="110"/>
      <c r="AU12" s="107"/>
      <c r="AV12" s="104"/>
      <c r="AW12" s="103" t="s">
        <v>48</v>
      </c>
      <c r="AX12" s="111">
        <v>920</v>
      </c>
      <c r="AY12" s="102" t="s">
        <v>33</v>
      </c>
      <c r="AZ12" s="104"/>
      <c r="BA12" s="104"/>
      <c r="BB12" s="108"/>
      <c r="BC12" s="104"/>
      <c r="BD12" s="104"/>
      <c r="BE12" s="104"/>
      <c r="BF12" s="104"/>
      <c r="BG12" s="109"/>
      <c r="BI12" s="110"/>
      <c r="BJ12" s="107"/>
      <c r="BK12" s="104"/>
      <c r="BL12" s="103" t="s">
        <v>48</v>
      </c>
      <c r="BM12" s="111">
        <v>280</v>
      </c>
      <c r="BN12" s="102" t="s">
        <v>164</v>
      </c>
      <c r="BO12" s="104"/>
      <c r="BP12" s="104"/>
      <c r="BQ12" s="108"/>
      <c r="BR12" s="104"/>
      <c r="BS12" s="104"/>
      <c r="BT12" s="104"/>
      <c r="BU12" s="104"/>
      <c r="BV12" s="109"/>
      <c r="BX12" s="110"/>
      <c r="BY12" s="107"/>
      <c r="BZ12" s="104"/>
      <c r="CA12" s="103" t="s">
        <v>48</v>
      </c>
      <c r="CB12" s="111">
        <v>280</v>
      </c>
      <c r="CC12" s="102" t="s">
        <v>164</v>
      </c>
      <c r="CD12" s="104"/>
      <c r="CE12" s="104"/>
      <c r="CF12" s="108"/>
      <c r="CG12" s="104"/>
      <c r="CH12" s="104"/>
      <c r="CI12" s="104"/>
      <c r="CJ12" s="104"/>
      <c r="CK12" s="109"/>
      <c r="CL12" s="46"/>
      <c r="CM12" s="197">
        <v>9</v>
      </c>
      <c r="CN12" s="197">
        <f t="shared" si="0"/>
        <v>-2.2850087641733761</v>
      </c>
      <c r="CO12" s="197">
        <f t="shared" si="1"/>
        <v>4.8564644938484784</v>
      </c>
      <c r="CP12" s="197">
        <f t="shared" si="2"/>
        <v>-4.4388255725362367</v>
      </c>
    </row>
    <row r="13" spans="1:95" ht="15.5" x14ac:dyDescent="0.35">
      <c r="A13" s="162" t="str">
        <f>IF(Method="R","Reichmann Method - Selected - Use blue cells below for polar entry","Reichman Method - NOT Selected - Data in blue cells below is NOT used.")</f>
        <v>Reichman Method - NOT Selected - Data in blue cells below is NOT used.</v>
      </c>
      <c r="B13" s="123"/>
      <c r="C13" s="123"/>
      <c r="D13" s="123"/>
      <c r="E13" s="123"/>
      <c r="F13" s="123"/>
      <c r="G13" s="123"/>
      <c r="H13" s="123"/>
      <c r="I13" s="163"/>
      <c r="AE13" s="57"/>
      <c r="AF13" s="46"/>
      <c r="AG13" s="46"/>
      <c r="AH13" s="46"/>
      <c r="AI13" s="46"/>
      <c r="AJ13" s="46"/>
      <c r="AK13" s="46"/>
      <c r="AL13" s="46"/>
      <c r="AM13" s="46"/>
      <c r="AN13" s="46"/>
      <c r="AO13" s="46"/>
      <c r="AP13" s="46"/>
      <c r="AQ13" s="46"/>
      <c r="AR13" s="59"/>
      <c r="AT13" s="57"/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59"/>
      <c r="BI13" s="57"/>
      <c r="BJ13" s="46"/>
      <c r="BK13" s="46"/>
      <c r="BL13" s="46"/>
      <c r="BM13" s="46"/>
      <c r="BN13" s="46"/>
      <c r="BO13" s="46"/>
      <c r="BP13" s="46"/>
      <c r="BQ13" s="46"/>
      <c r="BR13" s="46"/>
      <c r="BS13" s="46"/>
      <c r="BT13" s="46"/>
      <c r="BU13" s="46"/>
      <c r="BV13" s="59"/>
      <c r="BX13" s="57"/>
      <c r="BY13" s="46"/>
      <c r="BZ13" s="46"/>
      <c r="CA13" s="46"/>
      <c r="CB13" s="46"/>
      <c r="CC13" s="46"/>
      <c r="CD13" s="46"/>
      <c r="CE13" s="46"/>
      <c r="CF13" s="46"/>
      <c r="CG13" s="46"/>
      <c r="CH13" s="46"/>
      <c r="CI13" s="46"/>
      <c r="CJ13" s="46"/>
      <c r="CK13" s="59"/>
      <c r="CL13" s="46"/>
      <c r="CM13" s="197">
        <v>10</v>
      </c>
      <c r="CN13" s="197">
        <f t="shared" si="0"/>
        <v>-2.2443018854080967</v>
      </c>
      <c r="CO13" s="197">
        <f t="shared" si="1"/>
        <v>5.3960716598316427</v>
      </c>
      <c r="CP13" s="197">
        <f t="shared" si="2"/>
        <v>-4.3597489679846477</v>
      </c>
    </row>
    <row r="14" spans="1:95" ht="15.5" x14ac:dyDescent="0.35">
      <c r="A14" s="156" t="s">
        <v>69</v>
      </c>
      <c r="B14" s="121">
        <v>97</v>
      </c>
      <c r="C14" s="41" t="s">
        <v>1</v>
      </c>
      <c r="D14" s="16"/>
      <c r="E14" s="16"/>
      <c r="F14" s="16"/>
      <c r="G14" s="16"/>
      <c r="H14" s="4">
        <f>B14*KphToKts</f>
        <v>52.341895100366933</v>
      </c>
      <c r="I14" s="157" t="s">
        <v>8</v>
      </c>
      <c r="AE14" s="66" t="s">
        <v>16</v>
      </c>
      <c r="AF14" s="67"/>
      <c r="AG14" s="68"/>
      <c r="AH14" s="69"/>
      <c r="AI14" s="45" t="s">
        <v>34</v>
      </c>
      <c r="AJ14" s="51"/>
      <c r="AK14" s="51"/>
      <c r="AL14" s="51"/>
      <c r="AM14" s="70" t="s">
        <v>35</v>
      </c>
      <c r="AN14" s="51"/>
      <c r="AO14" s="51"/>
      <c r="AP14" s="51"/>
      <c r="AQ14" s="71" t="s">
        <v>36</v>
      </c>
      <c r="AR14" s="72" t="s">
        <v>37</v>
      </c>
      <c r="AT14" s="66" t="s">
        <v>16</v>
      </c>
      <c r="AU14" s="67"/>
      <c r="AV14" s="68"/>
      <c r="AW14" s="69"/>
      <c r="AX14" s="45" t="s">
        <v>34</v>
      </c>
      <c r="AY14" s="51"/>
      <c r="AZ14" s="51"/>
      <c r="BA14" s="51"/>
      <c r="BB14" s="70" t="s">
        <v>35</v>
      </c>
      <c r="BC14" s="51"/>
      <c r="BD14" s="51"/>
      <c r="BE14" s="51"/>
      <c r="BF14" s="71" t="s">
        <v>36</v>
      </c>
      <c r="BG14" s="72" t="s">
        <v>37</v>
      </c>
      <c r="BI14" s="66" t="s">
        <v>16</v>
      </c>
      <c r="BJ14" s="67"/>
      <c r="BK14" s="68"/>
      <c r="BL14" s="69"/>
      <c r="BM14" s="45" t="s">
        <v>34</v>
      </c>
      <c r="BN14" s="51"/>
      <c r="BO14" s="51"/>
      <c r="BP14" s="51"/>
      <c r="BQ14" s="70" t="s">
        <v>35</v>
      </c>
      <c r="BR14" s="51"/>
      <c r="BS14" s="51"/>
      <c r="BT14" s="51"/>
      <c r="BU14" s="71" t="s">
        <v>36</v>
      </c>
      <c r="BV14" s="72" t="s">
        <v>37</v>
      </c>
      <c r="BX14" s="66" t="s">
        <v>16</v>
      </c>
      <c r="BY14" s="67"/>
      <c r="BZ14" s="68"/>
      <c r="CA14" s="69"/>
      <c r="CB14" s="45" t="s">
        <v>34</v>
      </c>
      <c r="CC14" s="51"/>
      <c r="CD14" s="51"/>
      <c r="CE14" s="51"/>
      <c r="CF14" s="70" t="s">
        <v>35</v>
      </c>
      <c r="CG14" s="51"/>
      <c r="CH14" s="51"/>
      <c r="CI14" s="51"/>
      <c r="CJ14" s="71" t="s">
        <v>36</v>
      </c>
      <c r="CK14" s="72" t="s">
        <v>37</v>
      </c>
      <c r="CL14" s="193"/>
      <c r="CM14" s="197">
        <v>11</v>
      </c>
      <c r="CN14" s="197">
        <f t="shared" si="0"/>
        <v>-2.2040870149561194</v>
      </c>
      <c r="CO14" s="197">
        <f t="shared" si="1"/>
        <v>5.935678825814807</v>
      </c>
      <c r="CP14" s="197">
        <f t="shared" si="2"/>
        <v>-4.2816281317947498</v>
      </c>
    </row>
    <row r="15" spans="1:95" ht="15.5" x14ac:dyDescent="0.35">
      <c r="A15" s="158" t="s">
        <v>70</v>
      </c>
      <c r="B15" s="139">
        <v>-1.27</v>
      </c>
      <c r="C15" s="3" t="s">
        <v>0</v>
      </c>
      <c r="D15" s="16"/>
      <c r="E15" s="7">
        <f>B15*MpsToKph</f>
        <v>-4.5720000000000001</v>
      </c>
      <c r="F15" s="3" t="s">
        <v>1</v>
      </c>
      <c r="G15" s="16"/>
      <c r="H15" s="5">
        <f>B15*MpsToKts</f>
        <v>-2.467083962875027</v>
      </c>
      <c r="I15" s="159" t="s">
        <v>8</v>
      </c>
      <c r="AE15" s="73" t="s">
        <v>8</v>
      </c>
      <c r="AF15" s="74"/>
      <c r="AG15" s="75"/>
      <c r="AH15" s="76"/>
      <c r="AI15" s="77">
        <v>40</v>
      </c>
      <c r="AJ15" s="78">
        <v>30</v>
      </c>
      <c r="AK15" s="78">
        <v>20</v>
      </c>
      <c r="AL15" s="78">
        <v>10</v>
      </c>
      <c r="AM15" s="78">
        <v>0</v>
      </c>
      <c r="AN15" s="78">
        <v>-10</v>
      </c>
      <c r="AO15" s="78">
        <v>-20</v>
      </c>
      <c r="AP15" s="78">
        <v>-30</v>
      </c>
      <c r="AQ15" s="79">
        <v>-40</v>
      </c>
      <c r="AR15" s="80" t="s">
        <v>8</v>
      </c>
      <c r="AT15" s="73" t="s">
        <v>8</v>
      </c>
      <c r="AU15" s="74"/>
      <c r="AV15" s="75"/>
      <c r="AW15" s="76"/>
      <c r="AX15" s="77">
        <v>40</v>
      </c>
      <c r="AY15" s="78">
        <v>30</v>
      </c>
      <c r="AZ15" s="78">
        <v>20</v>
      </c>
      <c r="BA15" s="78">
        <v>10</v>
      </c>
      <c r="BB15" s="78">
        <v>0</v>
      </c>
      <c r="BC15" s="78">
        <v>-10</v>
      </c>
      <c r="BD15" s="78">
        <v>-20</v>
      </c>
      <c r="BE15" s="78">
        <v>-30</v>
      </c>
      <c r="BF15" s="79">
        <v>-40</v>
      </c>
      <c r="BG15" s="80" t="s">
        <v>8</v>
      </c>
      <c r="BI15" s="73" t="s">
        <v>0</v>
      </c>
      <c r="BJ15" s="74"/>
      <c r="BK15" s="75"/>
      <c r="BL15" s="76"/>
      <c r="BM15" s="77">
        <v>80</v>
      </c>
      <c r="BN15" s="78">
        <v>60</v>
      </c>
      <c r="BO15" s="78">
        <v>40</v>
      </c>
      <c r="BP15" s="78">
        <v>20</v>
      </c>
      <c r="BQ15" s="78">
        <v>0</v>
      </c>
      <c r="BR15" s="78">
        <v>-20</v>
      </c>
      <c r="BS15" s="78">
        <v>-40</v>
      </c>
      <c r="BT15" s="78">
        <v>-60</v>
      </c>
      <c r="BU15" s="79">
        <v>-80</v>
      </c>
      <c r="BV15" s="80" t="s">
        <v>1</v>
      </c>
      <c r="BX15" s="73" t="s">
        <v>0</v>
      </c>
      <c r="BY15" s="74"/>
      <c r="BZ15" s="75"/>
      <c r="CA15" s="76"/>
      <c r="CB15" s="77">
        <v>80</v>
      </c>
      <c r="CC15" s="78">
        <v>60</v>
      </c>
      <c r="CD15" s="78">
        <v>40</v>
      </c>
      <c r="CE15" s="78">
        <v>20</v>
      </c>
      <c r="CF15" s="78">
        <v>0</v>
      </c>
      <c r="CG15" s="78">
        <v>-20</v>
      </c>
      <c r="CH15" s="78">
        <v>-40</v>
      </c>
      <c r="CI15" s="78">
        <v>-60</v>
      </c>
      <c r="CJ15" s="79">
        <v>-80</v>
      </c>
      <c r="CK15" s="80" t="s">
        <v>1</v>
      </c>
      <c r="CL15" s="193"/>
      <c r="CM15" s="197">
        <v>12</v>
      </c>
      <c r="CN15" s="197">
        <f t="shared" si="0"/>
        <v>-2.1643641528174435</v>
      </c>
      <c r="CO15" s="197">
        <f t="shared" si="1"/>
        <v>6.4752859917979713</v>
      </c>
      <c r="CP15" s="197">
        <f t="shared" si="2"/>
        <v>-4.2044630639665428</v>
      </c>
    </row>
    <row r="16" spans="1:95" ht="15.5" x14ac:dyDescent="0.35">
      <c r="A16" s="158" t="s">
        <v>71</v>
      </c>
      <c r="B16" s="119">
        <v>121</v>
      </c>
      <c r="C16" s="3" t="s">
        <v>1</v>
      </c>
      <c r="D16" s="16"/>
      <c r="E16" s="16"/>
      <c r="F16" s="16"/>
      <c r="G16" s="16"/>
      <c r="H16" s="4">
        <f>B16*KphToKts</f>
        <v>65.292467083962876</v>
      </c>
      <c r="I16" s="159" t="s">
        <v>8</v>
      </c>
      <c r="AE16" s="66">
        <v>0</v>
      </c>
      <c r="AF16" s="81" t="s">
        <v>38</v>
      </c>
      <c r="AG16" s="60">
        <v>5</v>
      </c>
      <c r="AH16" s="71" t="s">
        <v>39</v>
      </c>
      <c r="AI16" s="82">
        <f t="shared" ref="AI16:AQ21" si="3">ROUND($AG16*SmiToFt/AI$25+$AI$11+$AI$12,-2)</f>
        <v>3500</v>
      </c>
      <c r="AJ16" s="82">
        <f t="shared" si="3"/>
        <v>3100</v>
      </c>
      <c r="AK16" s="82">
        <f t="shared" si="3"/>
        <v>2800</v>
      </c>
      <c r="AL16" s="82">
        <f t="shared" si="3"/>
        <v>2600</v>
      </c>
      <c r="AM16" s="83">
        <f t="shared" si="3"/>
        <v>2500</v>
      </c>
      <c r="AN16" s="82">
        <f t="shared" si="3"/>
        <v>2400</v>
      </c>
      <c r="AO16" s="82">
        <f t="shared" si="3"/>
        <v>2300</v>
      </c>
      <c r="AP16" s="82">
        <f t="shared" si="3"/>
        <v>2300</v>
      </c>
      <c r="AQ16" s="82">
        <f t="shared" si="3"/>
        <v>2200</v>
      </c>
      <c r="AR16" s="72" t="s">
        <v>33</v>
      </c>
      <c r="AT16" s="66">
        <v>0</v>
      </c>
      <c r="AU16" s="81" t="s">
        <v>38</v>
      </c>
      <c r="AV16" s="60">
        <v>5</v>
      </c>
      <c r="AW16" s="71" t="s">
        <v>39</v>
      </c>
      <c r="AX16" s="82">
        <f t="shared" ref="AX16:BF21" si="4">ROUND($AV16*SmiToFt/AX$25+$AX$11+$AX$12,-2)</f>
        <v>3900</v>
      </c>
      <c r="AY16" s="82">
        <f t="shared" si="4"/>
        <v>3100</v>
      </c>
      <c r="AZ16" s="82">
        <f t="shared" si="4"/>
        <v>2800</v>
      </c>
      <c r="BA16" s="82">
        <f t="shared" si="4"/>
        <v>2600</v>
      </c>
      <c r="BB16" s="83">
        <f t="shared" si="4"/>
        <v>2500</v>
      </c>
      <c r="BC16" s="82">
        <f t="shared" si="4"/>
        <v>2400</v>
      </c>
      <c r="BD16" s="82">
        <f t="shared" si="4"/>
        <v>2300</v>
      </c>
      <c r="BE16" s="82">
        <f t="shared" si="4"/>
        <v>2300</v>
      </c>
      <c r="BF16" s="82">
        <f t="shared" si="4"/>
        <v>2200</v>
      </c>
      <c r="BG16" s="72" t="s">
        <v>33</v>
      </c>
      <c r="BI16" s="66">
        <v>0</v>
      </c>
      <c r="BJ16" s="81" t="s">
        <v>38</v>
      </c>
      <c r="BK16" s="60">
        <v>10</v>
      </c>
      <c r="BL16" s="71" t="s">
        <v>170</v>
      </c>
      <c r="BM16" s="82">
        <f t="shared" ref="BM16:BU21" si="5">ROUND($BK16*1000/BM$25+$BM$11+$BM$12,-1)</f>
        <v>1250</v>
      </c>
      <c r="BN16" s="82">
        <f t="shared" si="5"/>
        <v>1040</v>
      </c>
      <c r="BO16" s="82">
        <f t="shared" si="5"/>
        <v>920</v>
      </c>
      <c r="BP16" s="82">
        <f t="shared" si="5"/>
        <v>840</v>
      </c>
      <c r="BQ16" s="83">
        <f t="shared" si="5"/>
        <v>790</v>
      </c>
      <c r="BR16" s="82">
        <f t="shared" si="5"/>
        <v>760</v>
      </c>
      <c r="BS16" s="82">
        <f t="shared" si="5"/>
        <v>730</v>
      </c>
      <c r="BT16" s="82">
        <f t="shared" si="5"/>
        <v>710</v>
      </c>
      <c r="BU16" s="82">
        <f t="shared" si="5"/>
        <v>700</v>
      </c>
      <c r="BV16" s="72" t="s">
        <v>164</v>
      </c>
      <c r="BX16" s="66">
        <v>0</v>
      </c>
      <c r="BY16" s="81" t="s">
        <v>38</v>
      </c>
      <c r="BZ16" s="60">
        <v>10</v>
      </c>
      <c r="CA16" s="71" t="s">
        <v>170</v>
      </c>
      <c r="CB16" s="82">
        <f t="shared" ref="CB16:CJ21" si="6">ROUND($BZ16*1000/CB$25+$CB$11+$CB$12,-1)</f>
        <v>1490</v>
      </c>
      <c r="CC16" s="82">
        <f t="shared" si="6"/>
        <v>1080</v>
      </c>
      <c r="CD16" s="82">
        <f t="shared" si="6"/>
        <v>930</v>
      </c>
      <c r="CE16" s="82">
        <f t="shared" si="6"/>
        <v>840</v>
      </c>
      <c r="CF16" s="83">
        <f>ROUND($BZ16*1000/CF$25+$CB$11+$CB$12,-1)</f>
        <v>790</v>
      </c>
      <c r="CG16" s="82">
        <f t="shared" si="6"/>
        <v>760</v>
      </c>
      <c r="CH16" s="82">
        <f t="shared" si="6"/>
        <v>730</v>
      </c>
      <c r="CI16" s="82">
        <f t="shared" si="6"/>
        <v>720</v>
      </c>
      <c r="CJ16" s="82">
        <f t="shared" si="6"/>
        <v>700</v>
      </c>
      <c r="CK16" s="72" t="s">
        <v>164</v>
      </c>
      <c r="CL16" s="193"/>
      <c r="CM16" s="197">
        <v>13</v>
      </c>
      <c r="CN16" s="197">
        <f t="shared" si="0"/>
        <v>-2.1251332989920697</v>
      </c>
      <c r="CO16" s="197">
        <f t="shared" si="1"/>
        <v>7.0148931577811355</v>
      </c>
      <c r="CP16" s="197">
        <f t="shared" si="2"/>
        <v>-4.1282537645000277</v>
      </c>
    </row>
    <row r="17" spans="1:94" ht="15.5" x14ac:dyDescent="0.35">
      <c r="A17" s="158" t="s">
        <v>73</v>
      </c>
      <c r="B17" s="139">
        <v>-2.0299999999999998</v>
      </c>
      <c r="C17" s="3" t="s">
        <v>0</v>
      </c>
      <c r="D17" s="16"/>
      <c r="E17" s="7">
        <f>B17*MpsToKph</f>
        <v>-7.3079999999999998</v>
      </c>
      <c r="F17" s="3" t="s">
        <v>1</v>
      </c>
      <c r="G17" s="16"/>
      <c r="H17" s="5">
        <f>B17*MpsToKts</f>
        <v>-3.943449169004964</v>
      </c>
      <c r="I17" s="159" t="s">
        <v>8</v>
      </c>
      <c r="AE17" s="84"/>
      <c r="AF17" s="53"/>
      <c r="AG17" s="85">
        <v>10</v>
      </c>
      <c r="AH17" s="86" t="s">
        <v>39</v>
      </c>
      <c r="AI17" s="82">
        <f t="shared" si="3"/>
        <v>5100</v>
      </c>
      <c r="AJ17" s="82">
        <f t="shared" si="3"/>
        <v>4200</v>
      </c>
      <c r="AK17" s="82">
        <f t="shared" si="3"/>
        <v>3600</v>
      </c>
      <c r="AL17" s="82">
        <f t="shared" si="3"/>
        <v>3300</v>
      </c>
      <c r="AM17" s="83">
        <f t="shared" si="3"/>
        <v>3000</v>
      </c>
      <c r="AN17" s="82">
        <f t="shared" si="3"/>
        <v>2900</v>
      </c>
      <c r="AO17" s="82">
        <f t="shared" si="3"/>
        <v>2700</v>
      </c>
      <c r="AP17" s="82">
        <f t="shared" si="3"/>
        <v>2600</v>
      </c>
      <c r="AQ17" s="82">
        <f t="shared" si="3"/>
        <v>2600</v>
      </c>
      <c r="AR17" s="87" t="s">
        <v>33</v>
      </c>
      <c r="AT17" s="84"/>
      <c r="AU17" s="53"/>
      <c r="AV17" s="85">
        <v>10</v>
      </c>
      <c r="AW17" s="86" t="s">
        <v>39</v>
      </c>
      <c r="AX17" s="82">
        <f t="shared" si="4"/>
        <v>5800</v>
      </c>
      <c r="AY17" s="82">
        <f t="shared" si="4"/>
        <v>4300</v>
      </c>
      <c r="AZ17" s="82">
        <f t="shared" si="4"/>
        <v>3700</v>
      </c>
      <c r="BA17" s="82">
        <f t="shared" si="4"/>
        <v>3300</v>
      </c>
      <c r="BB17" s="83">
        <f t="shared" si="4"/>
        <v>3000</v>
      </c>
      <c r="BC17" s="82">
        <f t="shared" si="4"/>
        <v>2900</v>
      </c>
      <c r="BD17" s="82">
        <f t="shared" si="4"/>
        <v>2700</v>
      </c>
      <c r="BE17" s="82">
        <f t="shared" si="4"/>
        <v>2700</v>
      </c>
      <c r="BF17" s="82">
        <f t="shared" si="4"/>
        <v>2600</v>
      </c>
      <c r="BG17" s="87" t="s">
        <v>33</v>
      </c>
      <c r="BI17" s="84"/>
      <c r="BJ17" s="53"/>
      <c r="BK17" s="85">
        <v>20</v>
      </c>
      <c r="BL17" s="86" t="s">
        <v>170</v>
      </c>
      <c r="BM17" s="82">
        <f t="shared" si="5"/>
        <v>1920</v>
      </c>
      <c r="BN17" s="82">
        <f t="shared" si="5"/>
        <v>1500</v>
      </c>
      <c r="BO17" s="82">
        <f t="shared" si="5"/>
        <v>1260</v>
      </c>
      <c r="BP17" s="82">
        <f t="shared" si="5"/>
        <v>1100</v>
      </c>
      <c r="BQ17" s="83">
        <f t="shared" si="5"/>
        <v>1010</v>
      </c>
      <c r="BR17" s="82">
        <f t="shared" si="5"/>
        <v>940</v>
      </c>
      <c r="BS17" s="82">
        <f t="shared" si="5"/>
        <v>890</v>
      </c>
      <c r="BT17" s="82">
        <f t="shared" si="5"/>
        <v>850</v>
      </c>
      <c r="BU17" s="82">
        <f t="shared" si="5"/>
        <v>820</v>
      </c>
      <c r="BV17" s="87" t="s">
        <v>164</v>
      </c>
      <c r="BX17" s="84"/>
      <c r="BY17" s="53"/>
      <c r="BZ17" s="85">
        <v>20</v>
      </c>
      <c r="CA17" s="86" t="s">
        <v>170</v>
      </c>
      <c r="CB17" s="82">
        <f t="shared" si="6"/>
        <v>2410</v>
      </c>
      <c r="CC17" s="82">
        <f t="shared" si="6"/>
        <v>1580</v>
      </c>
      <c r="CD17" s="82">
        <f t="shared" si="6"/>
        <v>1270</v>
      </c>
      <c r="CE17" s="82">
        <f t="shared" si="6"/>
        <v>1110</v>
      </c>
      <c r="CF17" s="83">
        <f t="shared" ref="CF17:CF21" si="7">ROUND($BZ17*1000/CF$25+$CB$11+$CB$12,-1)</f>
        <v>1010</v>
      </c>
      <c r="CG17" s="82">
        <f t="shared" si="6"/>
        <v>940</v>
      </c>
      <c r="CH17" s="82">
        <f t="shared" si="6"/>
        <v>890</v>
      </c>
      <c r="CI17" s="82">
        <f t="shared" si="6"/>
        <v>850</v>
      </c>
      <c r="CJ17" s="82">
        <f t="shared" si="6"/>
        <v>820</v>
      </c>
      <c r="CK17" s="87" t="s">
        <v>164</v>
      </c>
      <c r="CL17" s="193"/>
      <c r="CM17" s="197">
        <v>14</v>
      </c>
      <c r="CN17" s="197">
        <f t="shared" si="0"/>
        <v>-2.0863944534799974</v>
      </c>
      <c r="CO17" s="197">
        <f t="shared" si="1"/>
        <v>7.5545003237642998</v>
      </c>
      <c r="CP17" s="197">
        <f t="shared" si="2"/>
        <v>-4.0530002333952035</v>
      </c>
    </row>
    <row r="18" spans="1:94" ht="15.5" x14ac:dyDescent="0.35">
      <c r="A18" s="158" t="s">
        <v>74</v>
      </c>
      <c r="B18" s="119">
        <v>158</v>
      </c>
      <c r="C18" s="3" t="s">
        <v>1</v>
      </c>
      <c r="D18" s="16"/>
      <c r="E18" s="16"/>
      <c r="F18" s="16"/>
      <c r="G18" s="16"/>
      <c r="H18" s="4">
        <f>B18*KphToKts</f>
        <v>85.257932225339957</v>
      </c>
      <c r="I18" s="159" t="s">
        <v>8</v>
      </c>
      <c r="AE18" s="84"/>
      <c r="AF18" s="53"/>
      <c r="AG18" s="85">
        <v>20</v>
      </c>
      <c r="AH18" s="86" t="s">
        <v>39</v>
      </c>
      <c r="AI18" s="82">
        <f t="shared" si="3"/>
        <v>8200</v>
      </c>
      <c r="AJ18" s="82">
        <f t="shared" si="3"/>
        <v>6400</v>
      </c>
      <c r="AK18" s="82">
        <f t="shared" si="3"/>
        <v>5400</v>
      </c>
      <c r="AL18" s="82">
        <f t="shared" si="3"/>
        <v>4600</v>
      </c>
      <c r="AM18" s="83">
        <f t="shared" si="3"/>
        <v>4200</v>
      </c>
      <c r="AN18" s="82">
        <f t="shared" si="3"/>
        <v>3800</v>
      </c>
      <c r="AO18" s="82">
        <f t="shared" si="3"/>
        <v>3600</v>
      </c>
      <c r="AP18" s="82">
        <f t="shared" si="3"/>
        <v>3400</v>
      </c>
      <c r="AQ18" s="82">
        <f t="shared" si="3"/>
        <v>3200</v>
      </c>
      <c r="AR18" s="87" t="s">
        <v>33</v>
      </c>
      <c r="AT18" s="84"/>
      <c r="AU18" s="53"/>
      <c r="AV18" s="85">
        <v>20</v>
      </c>
      <c r="AW18" s="86" t="s">
        <v>39</v>
      </c>
      <c r="AX18" s="82">
        <f t="shared" si="4"/>
        <v>9700</v>
      </c>
      <c r="AY18" s="82">
        <f t="shared" si="4"/>
        <v>6700</v>
      </c>
      <c r="AZ18" s="82">
        <f t="shared" si="4"/>
        <v>5400</v>
      </c>
      <c r="BA18" s="82">
        <f t="shared" si="4"/>
        <v>4700</v>
      </c>
      <c r="BB18" s="83">
        <f t="shared" si="4"/>
        <v>4200</v>
      </c>
      <c r="BC18" s="82">
        <f t="shared" si="4"/>
        <v>3800</v>
      </c>
      <c r="BD18" s="82">
        <f t="shared" si="4"/>
        <v>3600</v>
      </c>
      <c r="BE18" s="82">
        <f t="shared" si="4"/>
        <v>3400</v>
      </c>
      <c r="BF18" s="82">
        <f t="shared" si="4"/>
        <v>3200</v>
      </c>
      <c r="BG18" s="87" t="s">
        <v>33</v>
      </c>
      <c r="BI18" s="84"/>
      <c r="BJ18" s="53"/>
      <c r="BK18" s="85">
        <v>30</v>
      </c>
      <c r="BL18" s="86" t="s">
        <v>170</v>
      </c>
      <c r="BM18" s="82">
        <f t="shared" si="5"/>
        <v>2590</v>
      </c>
      <c r="BN18" s="82">
        <f t="shared" si="5"/>
        <v>1970</v>
      </c>
      <c r="BO18" s="82">
        <f t="shared" si="5"/>
        <v>1590</v>
      </c>
      <c r="BP18" s="82">
        <f t="shared" si="5"/>
        <v>1370</v>
      </c>
      <c r="BQ18" s="83">
        <f t="shared" si="5"/>
        <v>1220</v>
      </c>
      <c r="BR18" s="82">
        <f t="shared" si="5"/>
        <v>1110</v>
      </c>
      <c r="BS18" s="82">
        <f t="shared" si="5"/>
        <v>1040</v>
      </c>
      <c r="BT18" s="82">
        <f t="shared" si="5"/>
        <v>980</v>
      </c>
      <c r="BU18" s="82">
        <f t="shared" si="5"/>
        <v>940</v>
      </c>
      <c r="BV18" s="87" t="s">
        <v>164</v>
      </c>
      <c r="BX18" s="84"/>
      <c r="BY18" s="53"/>
      <c r="BZ18" s="85">
        <v>30</v>
      </c>
      <c r="CA18" s="86" t="s">
        <v>170</v>
      </c>
      <c r="CB18" s="82">
        <f t="shared" si="6"/>
        <v>3320</v>
      </c>
      <c r="CC18" s="82">
        <f t="shared" si="6"/>
        <v>2080</v>
      </c>
      <c r="CD18" s="82">
        <f t="shared" si="6"/>
        <v>1620</v>
      </c>
      <c r="CE18" s="82">
        <f t="shared" si="6"/>
        <v>1370</v>
      </c>
      <c r="CF18" s="83">
        <f t="shared" si="7"/>
        <v>1220</v>
      </c>
      <c r="CG18" s="82">
        <f t="shared" si="6"/>
        <v>1120</v>
      </c>
      <c r="CH18" s="82">
        <f t="shared" si="6"/>
        <v>1040</v>
      </c>
      <c r="CI18" s="82">
        <f t="shared" si="6"/>
        <v>990</v>
      </c>
      <c r="CJ18" s="82">
        <f t="shared" si="6"/>
        <v>940</v>
      </c>
      <c r="CK18" s="87" t="s">
        <v>164</v>
      </c>
      <c r="CL18" s="193"/>
      <c r="CM18" s="197">
        <v>15</v>
      </c>
      <c r="CN18" s="197">
        <f t="shared" si="0"/>
        <v>-2.0481476162812271</v>
      </c>
      <c r="CO18" s="197">
        <f t="shared" si="1"/>
        <v>8.0941074897474632</v>
      </c>
      <c r="CP18" s="197">
        <f t="shared" si="2"/>
        <v>-3.9787024706520704</v>
      </c>
    </row>
    <row r="19" spans="1:94" ht="15.5" x14ac:dyDescent="0.35">
      <c r="A19" s="160" t="s">
        <v>75</v>
      </c>
      <c r="B19" s="140">
        <v>-4.0599999999999996</v>
      </c>
      <c r="C19" s="36" t="s">
        <v>0</v>
      </c>
      <c r="D19" s="16"/>
      <c r="E19" s="7">
        <f>B19*MpsToKph</f>
        <v>-14.616</v>
      </c>
      <c r="F19" s="36" t="s">
        <v>1</v>
      </c>
      <c r="G19" s="16"/>
      <c r="H19" s="5">
        <f>B19*MpsToKts</f>
        <v>-7.886898338009928</v>
      </c>
      <c r="I19" s="161" t="s">
        <v>8</v>
      </c>
      <c r="AE19" s="84"/>
      <c r="AF19" s="53"/>
      <c r="AG19" s="85">
        <v>30</v>
      </c>
      <c r="AH19" s="86" t="s">
        <v>39</v>
      </c>
      <c r="AI19" s="82">
        <f t="shared" si="3"/>
        <v>11400</v>
      </c>
      <c r="AJ19" s="82">
        <f t="shared" si="3"/>
        <v>8700</v>
      </c>
      <c r="AK19" s="82">
        <f t="shared" si="3"/>
        <v>7100</v>
      </c>
      <c r="AL19" s="82">
        <f t="shared" si="3"/>
        <v>6000</v>
      </c>
      <c r="AM19" s="83">
        <f t="shared" si="3"/>
        <v>5300</v>
      </c>
      <c r="AN19" s="82">
        <f t="shared" si="3"/>
        <v>4800</v>
      </c>
      <c r="AO19" s="82">
        <f t="shared" si="3"/>
        <v>4400</v>
      </c>
      <c r="AP19" s="82">
        <f t="shared" si="3"/>
        <v>4100</v>
      </c>
      <c r="AQ19" s="82">
        <f t="shared" si="3"/>
        <v>3900</v>
      </c>
      <c r="AR19" s="87" t="s">
        <v>33</v>
      </c>
      <c r="AT19" s="84"/>
      <c r="AU19" s="53"/>
      <c r="AV19" s="85">
        <v>30</v>
      </c>
      <c r="AW19" s="86" t="s">
        <v>39</v>
      </c>
      <c r="AX19" s="82">
        <f t="shared" si="4"/>
        <v>13600</v>
      </c>
      <c r="AY19" s="82">
        <f t="shared" si="4"/>
        <v>9100</v>
      </c>
      <c r="AZ19" s="82">
        <f t="shared" si="4"/>
        <v>7100</v>
      </c>
      <c r="BA19" s="82">
        <f t="shared" si="4"/>
        <v>6000</v>
      </c>
      <c r="BB19" s="83">
        <f t="shared" si="4"/>
        <v>5300</v>
      </c>
      <c r="BC19" s="82">
        <f t="shared" si="4"/>
        <v>4800</v>
      </c>
      <c r="BD19" s="82">
        <f t="shared" si="4"/>
        <v>4400</v>
      </c>
      <c r="BE19" s="82">
        <f t="shared" si="4"/>
        <v>4100</v>
      </c>
      <c r="BF19" s="82">
        <f t="shared" si="4"/>
        <v>3900</v>
      </c>
      <c r="BG19" s="87" t="s">
        <v>33</v>
      </c>
      <c r="BI19" s="84"/>
      <c r="BJ19" s="53"/>
      <c r="BK19" s="85">
        <v>40</v>
      </c>
      <c r="BL19" s="86" t="s">
        <v>170</v>
      </c>
      <c r="BM19" s="82">
        <f t="shared" si="5"/>
        <v>3260</v>
      </c>
      <c r="BN19" s="82">
        <f t="shared" si="5"/>
        <v>2430</v>
      </c>
      <c r="BO19" s="82">
        <f t="shared" si="5"/>
        <v>1930</v>
      </c>
      <c r="BP19" s="82">
        <f t="shared" si="5"/>
        <v>1630</v>
      </c>
      <c r="BQ19" s="83">
        <f t="shared" si="5"/>
        <v>1430</v>
      </c>
      <c r="BR19" s="82">
        <f t="shared" si="5"/>
        <v>1290</v>
      </c>
      <c r="BS19" s="82">
        <f t="shared" si="5"/>
        <v>1190</v>
      </c>
      <c r="BT19" s="82">
        <f t="shared" si="5"/>
        <v>1120</v>
      </c>
      <c r="BU19" s="82">
        <f t="shared" si="5"/>
        <v>1060</v>
      </c>
      <c r="BV19" s="87" t="s">
        <v>164</v>
      </c>
      <c r="BX19" s="84"/>
      <c r="BY19" s="53"/>
      <c r="BZ19" s="85">
        <v>40</v>
      </c>
      <c r="CA19" s="86" t="s">
        <v>170</v>
      </c>
      <c r="CB19" s="82">
        <f t="shared" si="6"/>
        <v>4240</v>
      </c>
      <c r="CC19" s="82">
        <f t="shared" si="6"/>
        <v>2590</v>
      </c>
      <c r="CD19" s="82">
        <f t="shared" si="6"/>
        <v>1960</v>
      </c>
      <c r="CE19" s="82">
        <f t="shared" si="6"/>
        <v>1630</v>
      </c>
      <c r="CF19" s="83">
        <f t="shared" si="7"/>
        <v>1430</v>
      </c>
      <c r="CG19" s="82">
        <f t="shared" si="6"/>
        <v>1290</v>
      </c>
      <c r="CH19" s="82">
        <f t="shared" si="6"/>
        <v>1200</v>
      </c>
      <c r="CI19" s="82">
        <f t="shared" si="6"/>
        <v>1120</v>
      </c>
      <c r="CJ19" s="82">
        <f t="shared" si="6"/>
        <v>1060</v>
      </c>
      <c r="CK19" s="87" t="s">
        <v>164</v>
      </c>
      <c r="CL19" s="193"/>
      <c r="CM19" s="197">
        <v>16</v>
      </c>
      <c r="CN19" s="197">
        <f t="shared" si="0"/>
        <v>-2.0103927873957592</v>
      </c>
      <c r="CO19" s="197">
        <f t="shared" si="1"/>
        <v>8.6337146557306284</v>
      </c>
      <c r="CP19" s="197">
        <f t="shared" si="2"/>
        <v>-3.9053604762706304</v>
      </c>
    </row>
    <row r="20" spans="1:94" ht="15.5" x14ac:dyDescent="0.35">
      <c r="A20" s="164" t="str">
        <f>IF(Method="N","Naviter/LXNAV Method - Selected - Use red cells below for polar entry","Naviter/LXNAV Method - NOT Selected - Data in red cells below is NOT used.")</f>
        <v>Naviter/LXNAV Method - NOT Selected - Data in red cells below is NOT used.</v>
      </c>
      <c r="B20" s="127"/>
      <c r="C20" s="127"/>
      <c r="D20" s="127"/>
      <c r="E20" s="127"/>
      <c r="F20" s="127"/>
      <c r="G20" s="127"/>
      <c r="H20" s="127"/>
      <c r="I20" s="165"/>
      <c r="AE20" s="84"/>
      <c r="AF20" s="53"/>
      <c r="AG20" s="85">
        <v>40</v>
      </c>
      <c r="AH20" s="86" t="s">
        <v>39</v>
      </c>
      <c r="AI20" s="82">
        <f t="shared" si="3"/>
        <v>14500</v>
      </c>
      <c r="AJ20" s="82">
        <f t="shared" si="3"/>
        <v>11000</v>
      </c>
      <c r="AK20" s="82">
        <f t="shared" si="3"/>
        <v>8800</v>
      </c>
      <c r="AL20" s="82">
        <f t="shared" si="3"/>
        <v>7400</v>
      </c>
      <c r="AM20" s="83">
        <f t="shared" si="3"/>
        <v>6400</v>
      </c>
      <c r="AN20" s="82">
        <f t="shared" si="3"/>
        <v>5700</v>
      </c>
      <c r="AO20" s="82">
        <f t="shared" si="3"/>
        <v>5200</v>
      </c>
      <c r="AP20" s="82">
        <f t="shared" si="3"/>
        <v>4800</v>
      </c>
      <c r="AQ20" s="82">
        <f t="shared" si="3"/>
        <v>4500</v>
      </c>
      <c r="AR20" s="87" t="s">
        <v>33</v>
      </c>
      <c r="AT20" s="84"/>
      <c r="AU20" s="53"/>
      <c r="AV20" s="85">
        <v>40</v>
      </c>
      <c r="AW20" s="86" t="s">
        <v>39</v>
      </c>
      <c r="AX20" s="82">
        <f t="shared" si="4"/>
        <v>17500</v>
      </c>
      <c r="AY20" s="82">
        <f t="shared" si="4"/>
        <v>11500</v>
      </c>
      <c r="AZ20" s="82">
        <f t="shared" si="4"/>
        <v>8900</v>
      </c>
      <c r="BA20" s="82">
        <f t="shared" si="4"/>
        <v>7400</v>
      </c>
      <c r="BB20" s="83">
        <f t="shared" si="4"/>
        <v>6400</v>
      </c>
      <c r="BC20" s="82">
        <f t="shared" si="4"/>
        <v>5700</v>
      </c>
      <c r="BD20" s="82">
        <f t="shared" si="4"/>
        <v>5200</v>
      </c>
      <c r="BE20" s="82">
        <f t="shared" si="4"/>
        <v>4900</v>
      </c>
      <c r="BF20" s="82">
        <f t="shared" si="4"/>
        <v>4500</v>
      </c>
      <c r="BG20" s="87" t="s">
        <v>33</v>
      </c>
      <c r="BI20" s="84"/>
      <c r="BJ20" s="53"/>
      <c r="BK20" s="85">
        <v>50</v>
      </c>
      <c r="BL20" s="86" t="s">
        <v>170</v>
      </c>
      <c r="BM20" s="82">
        <f t="shared" si="5"/>
        <v>3930</v>
      </c>
      <c r="BN20" s="82">
        <f t="shared" si="5"/>
        <v>2890</v>
      </c>
      <c r="BO20" s="82">
        <f t="shared" si="5"/>
        <v>2270</v>
      </c>
      <c r="BP20" s="82">
        <f t="shared" si="5"/>
        <v>1890</v>
      </c>
      <c r="BQ20" s="83">
        <f t="shared" si="5"/>
        <v>1640</v>
      </c>
      <c r="BR20" s="82">
        <f t="shared" si="5"/>
        <v>1470</v>
      </c>
      <c r="BS20" s="82">
        <f t="shared" si="5"/>
        <v>1350</v>
      </c>
      <c r="BT20" s="82">
        <f t="shared" si="5"/>
        <v>1250</v>
      </c>
      <c r="BU20" s="82">
        <f t="shared" si="5"/>
        <v>1180</v>
      </c>
      <c r="BV20" s="87" t="s">
        <v>164</v>
      </c>
      <c r="BX20" s="84"/>
      <c r="BY20" s="53"/>
      <c r="BZ20" s="85">
        <v>50</v>
      </c>
      <c r="CA20" s="86" t="s">
        <v>170</v>
      </c>
      <c r="CB20" s="82">
        <f t="shared" si="6"/>
        <v>5150</v>
      </c>
      <c r="CC20" s="82">
        <f t="shared" si="6"/>
        <v>3090</v>
      </c>
      <c r="CD20" s="82">
        <f t="shared" si="6"/>
        <v>2310</v>
      </c>
      <c r="CE20" s="82">
        <f t="shared" si="6"/>
        <v>1900</v>
      </c>
      <c r="CF20" s="83">
        <f t="shared" si="7"/>
        <v>1640</v>
      </c>
      <c r="CG20" s="82">
        <f t="shared" si="6"/>
        <v>1470</v>
      </c>
      <c r="CH20" s="82">
        <f t="shared" si="6"/>
        <v>1350</v>
      </c>
      <c r="CI20" s="82">
        <f t="shared" si="6"/>
        <v>1260</v>
      </c>
      <c r="CJ20" s="82">
        <f t="shared" si="6"/>
        <v>1180</v>
      </c>
      <c r="CK20" s="87" t="s">
        <v>164</v>
      </c>
      <c r="CL20" s="193"/>
      <c r="CM20" s="197">
        <v>17</v>
      </c>
      <c r="CN20" s="197">
        <f t="shared" si="0"/>
        <v>-1.9731299668235927</v>
      </c>
      <c r="CO20" s="197">
        <f t="shared" si="1"/>
        <v>9.1733218217137917</v>
      </c>
      <c r="CP20" s="197">
        <f t="shared" si="2"/>
        <v>-3.8329742502508819</v>
      </c>
    </row>
    <row r="21" spans="1:94" ht="15.5" x14ac:dyDescent="0.35">
      <c r="A21" s="156" t="s">
        <v>86</v>
      </c>
      <c r="B21" s="126">
        <v>0.81</v>
      </c>
      <c r="C21" s="8"/>
      <c r="D21" s="9"/>
      <c r="E21" s="9"/>
      <c r="F21" s="9"/>
      <c r="G21" s="9"/>
      <c r="H21" s="9"/>
      <c r="I21" s="166"/>
      <c r="AE21" s="84"/>
      <c r="AF21" s="53"/>
      <c r="AG21" s="85">
        <v>50</v>
      </c>
      <c r="AH21" s="86" t="s">
        <v>39</v>
      </c>
      <c r="AI21" s="82">
        <f t="shared" si="3"/>
        <v>17700</v>
      </c>
      <c r="AJ21" s="82">
        <f t="shared" si="3"/>
        <v>13200</v>
      </c>
      <c r="AK21" s="82">
        <f t="shared" si="3"/>
        <v>10500</v>
      </c>
      <c r="AL21" s="82">
        <f t="shared" si="3"/>
        <v>8700</v>
      </c>
      <c r="AM21" s="83">
        <f t="shared" si="3"/>
        <v>7500</v>
      </c>
      <c r="AN21" s="82">
        <f t="shared" si="3"/>
        <v>6700</v>
      </c>
      <c r="AO21" s="82">
        <f t="shared" si="3"/>
        <v>6000</v>
      </c>
      <c r="AP21" s="82">
        <f t="shared" si="3"/>
        <v>5600</v>
      </c>
      <c r="AQ21" s="82">
        <f t="shared" si="3"/>
        <v>5200</v>
      </c>
      <c r="AR21" s="87" t="s">
        <v>33</v>
      </c>
      <c r="AT21" s="84"/>
      <c r="AU21" s="53"/>
      <c r="AV21" s="85">
        <v>50</v>
      </c>
      <c r="AW21" s="86" t="s">
        <v>39</v>
      </c>
      <c r="AX21" s="82">
        <f t="shared" si="4"/>
        <v>21400</v>
      </c>
      <c r="AY21" s="82">
        <f t="shared" si="4"/>
        <v>14000</v>
      </c>
      <c r="AZ21" s="82">
        <f t="shared" si="4"/>
        <v>10600</v>
      </c>
      <c r="BA21" s="82">
        <f t="shared" si="4"/>
        <v>8800</v>
      </c>
      <c r="BB21" s="83">
        <f t="shared" si="4"/>
        <v>7500</v>
      </c>
      <c r="BC21" s="82">
        <f t="shared" si="4"/>
        <v>6700</v>
      </c>
      <c r="BD21" s="82">
        <f t="shared" si="4"/>
        <v>6100</v>
      </c>
      <c r="BE21" s="82">
        <f t="shared" si="4"/>
        <v>5600</v>
      </c>
      <c r="BF21" s="82">
        <f t="shared" si="4"/>
        <v>5200</v>
      </c>
      <c r="BG21" s="87" t="s">
        <v>33</v>
      </c>
      <c r="BI21" s="84"/>
      <c r="BJ21" s="53"/>
      <c r="BK21" s="85">
        <v>100</v>
      </c>
      <c r="BL21" s="86" t="s">
        <v>170</v>
      </c>
      <c r="BM21" s="82">
        <f t="shared" si="5"/>
        <v>7290</v>
      </c>
      <c r="BN21" s="82">
        <f t="shared" si="5"/>
        <v>5200</v>
      </c>
      <c r="BO21" s="82">
        <f t="shared" si="5"/>
        <v>3960</v>
      </c>
      <c r="BP21" s="82">
        <f t="shared" si="5"/>
        <v>3200</v>
      </c>
      <c r="BQ21" s="83">
        <f t="shared" si="5"/>
        <v>2710</v>
      </c>
      <c r="BR21" s="82">
        <f t="shared" si="5"/>
        <v>2360</v>
      </c>
      <c r="BS21" s="82">
        <f t="shared" si="5"/>
        <v>2110</v>
      </c>
      <c r="BT21" s="82">
        <f t="shared" si="5"/>
        <v>1920</v>
      </c>
      <c r="BU21" s="82">
        <f t="shared" si="5"/>
        <v>1770</v>
      </c>
      <c r="BV21" s="87" t="s">
        <v>164</v>
      </c>
      <c r="BX21" s="84"/>
      <c r="BY21" s="53"/>
      <c r="BZ21" s="85">
        <v>100</v>
      </c>
      <c r="CA21" s="86" t="s">
        <v>170</v>
      </c>
      <c r="CB21" s="82">
        <f t="shared" si="6"/>
        <v>9730</v>
      </c>
      <c r="CC21" s="82">
        <f t="shared" si="6"/>
        <v>5590</v>
      </c>
      <c r="CD21" s="82">
        <f t="shared" si="6"/>
        <v>4030</v>
      </c>
      <c r="CE21" s="82">
        <f t="shared" si="6"/>
        <v>3210</v>
      </c>
      <c r="CF21" s="83">
        <f t="shared" si="7"/>
        <v>2710</v>
      </c>
      <c r="CG21" s="82">
        <f t="shared" si="6"/>
        <v>2370</v>
      </c>
      <c r="CH21" s="82">
        <f t="shared" si="6"/>
        <v>2120</v>
      </c>
      <c r="CI21" s="82">
        <f t="shared" si="6"/>
        <v>1930</v>
      </c>
      <c r="CJ21" s="82">
        <f t="shared" si="6"/>
        <v>1780</v>
      </c>
      <c r="CK21" s="87" t="s">
        <v>164</v>
      </c>
      <c r="CL21" s="193"/>
      <c r="CM21" s="197">
        <v>18</v>
      </c>
      <c r="CN21" s="197">
        <f t="shared" si="0"/>
        <v>-1.9363591545647276</v>
      </c>
      <c r="CO21" s="197">
        <f t="shared" si="1"/>
        <v>9.7129289876969569</v>
      </c>
      <c r="CP21" s="197">
        <f t="shared" si="2"/>
        <v>-3.761543792592823</v>
      </c>
    </row>
    <row r="22" spans="1:94" ht="15.5" x14ac:dyDescent="0.35">
      <c r="A22" s="158" t="s">
        <v>87</v>
      </c>
      <c r="B22" s="124">
        <v>-1.29</v>
      </c>
      <c r="C22" s="19"/>
      <c r="D22" s="16"/>
      <c r="E22" s="16"/>
      <c r="F22" s="16"/>
      <c r="G22" s="16"/>
      <c r="H22" s="16"/>
      <c r="I22" s="167"/>
      <c r="AE22" s="88"/>
      <c r="AF22" s="89"/>
      <c r="AG22" s="61"/>
      <c r="AH22" s="90" t="s">
        <v>40</v>
      </c>
      <c r="AI22" s="177">
        <f>KphToKts*(aRprime*AI15*KtsToKph-SQRT(aRprime*(aRprime*(AI15*KtsToKph)^2-$AE$16*KtsToKph+bRprime*AI15*KtsToKph+cRprime)))/aRprime</f>
        <v>67.977180409921516</v>
      </c>
      <c r="AJ22" s="177">
        <f>KphToKts*(aRprime*AJ15*KtsToKph-SQRT(aRprime*(aRprime*(AJ15*KtsToKph)^2-$AE$16*KtsToKph+bRprime*AJ15*KtsToKph+cRprime)))/aRprime</f>
        <v>62.835171490504138</v>
      </c>
      <c r="AK22" s="177">
        <f>KphToKts*(aRprime*AK15*KtsToKph-SQRT(aRprime*(aRprime*(AK15*KtsToKph)^2-$AE$16*KtsToKph+bRprime*AK15*KtsToKph+cRprime)))/aRprime</f>
        <v>59.668304097003379</v>
      </c>
      <c r="AL22" s="177">
        <f>KphToKts*(aRprime*AL15*KtsToKph-SQRT(aRprime*(aRprime*(AL15*KtsToKph)^2-$AE$16*KtsToKph+bRprime*AL15*KtsToKph+cRprime)))/aRprime</f>
        <v>57.634023691620406</v>
      </c>
      <c r="AM22" s="178">
        <f>KphToKts*(aRprime*AM15*KtsToKph-SQRT(aRprime*(aRprime*(AM15*KtsToKph)^2-$AE16*KtsToKph+bRprime*AM15*KtsToKph+cRprime)))/aRprime</f>
        <v>56.253231695391278</v>
      </c>
      <c r="AN22" s="177">
        <f>KphToKts*(aRprime*AN15*KtsToKph-SQRT(aRprime*(aRprime*(AN15*KtsToKph)^2-$AE$16*KtsToKph+bRprime*AN15*KtsToKph+cRprime)))/aRprime</f>
        <v>55.267541238328363</v>
      </c>
      <c r="AO22" s="177">
        <f>KphToKts*(aRprime*AO15*KtsToKph-SQRT(aRprime*(aRprime*(AO15*KtsToKph)^2-$AE$16*KtsToKph+bRprime*AO15*KtsToKph+cRprime)))/aRprime</f>
        <v>54.533736002017321</v>
      </c>
      <c r="AP22" s="177">
        <f>KphToKts*(aRprime*AP15*KtsToKph-SQRT(aRprime*(aRprime*(AP15*KtsToKph)^2-$AE$16*KtsToKph+bRprime*AP15*KtsToKph+cRprime)))/aRprime</f>
        <v>53.968468281492022</v>
      </c>
      <c r="AQ22" s="177">
        <f>KphToKts*(aRprime*AQ15*KtsToKph-SQRT(aRprime*(aRprime*(AQ15*KtsToKph)^2-$AE$16*KtsToKph+bRprime*AQ15*KtsToKph+cRprime)))/aRprime</f>
        <v>53.520743841467883</v>
      </c>
      <c r="AR22" s="72" t="s">
        <v>8</v>
      </c>
      <c r="AT22" s="88"/>
      <c r="AU22" s="89"/>
      <c r="AV22" s="61"/>
      <c r="AW22" s="90" t="s">
        <v>40</v>
      </c>
      <c r="AX22" s="177">
        <f t="shared" ref="AX22:BF22" si="8">KphToKts*(-1*SQRT(aRprime*(-$AT16*KtsToKph+cRprime)))/aRprime</f>
        <v>56.253231695391278</v>
      </c>
      <c r="AY22" s="177">
        <f t="shared" si="8"/>
        <v>56.253231695391278</v>
      </c>
      <c r="AZ22" s="177">
        <f t="shared" si="8"/>
        <v>56.253231695391278</v>
      </c>
      <c r="BA22" s="177">
        <f t="shared" si="8"/>
        <v>56.253231695391278</v>
      </c>
      <c r="BB22" s="178">
        <f t="shared" si="8"/>
        <v>56.253231695391278</v>
      </c>
      <c r="BC22" s="177">
        <f t="shared" si="8"/>
        <v>56.253231695391278</v>
      </c>
      <c r="BD22" s="177">
        <f t="shared" si="8"/>
        <v>56.253231695391278</v>
      </c>
      <c r="BE22" s="177">
        <f t="shared" si="8"/>
        <v>56.253231695391278</v>
      </c>
      <c r="BF22" s="177">
        <f t="shared" si="8"/>
        <v>56.253231695391278</v>
      </c>
      <c r="BG22" s="72" t="s">
        <v>8</v>
      </c>
      <c r="BI22" s="88"/>
      <c r="BJ22" s="89"/>
      <c r="BK22" s="61"/>
      <c r="BL22" s="90" t="s">
        <v>40</v>
      </c>
      <c r="BM22" s="177">
        <f t="shared" ref="BM22:BU22" si="9">(aRprime*BM15-SQRT(aRprime*(aRprime*BM15^2-$BI16*MpsToKph+bRprime*BM15+cRprime)))/aRprime</f>
        <v>130.0995187390134</v>
      </c>
      <c r="BN22" s="177">
        <f t="shared" si="9"/>
        <v>118.30444405835934</v>
      </c>
      <c r="BO22" s="177">
        <f t="shared" si="9"/>
        <v>111.3362083098615</v>
      </c>
      <c r="BP22" s="177">
        <f t="shared" si="9"/>
        <v>107.053437813228</v>
      </c>
      <c r="BQ22" s="178">
        <f t="shared" si="9"/>
        <v>104.24848897789911</v>
      </c>
      <c r="BR22" s="177">
        <f t="shared" si="9"/>
        <v>102.29960700365619</v>
      </c>
      <c r="BS22" s="177">
        <f t="shared" si="9"/>
        <v>100.87810437510278</v>
      </c>
      <c r="BT22" s="177">
        <f t="shared" si="9"/>
        <v>99.800146155740293</v>
      </c>
      <c r="BU22" s="177">
        <f t="shared" si="9"/>
        <v>98.956791238750014</v>
      </c>
      <c r="BV22" s="72" t="s">
        <v>1</v>
      </c>
      <c r="BX22" s="88"/>
      <c r="BY22" s="89"/>
      <c r="BZ22" s="61"/>
      <c r="CA22" s="90" t="s">
        <v>40</v>
      </c>
      <c r="CB22" s="177">
        <f t="shared" ref="CB22:CJ22" si="10">(-1*SQRT(aRprime*(-$BX16*MpsToKph+cRprime)))/aRprime</f>
        <v>104.24848897789911</v>
      </c>
      <c r="CC22" s="177">
        <f t="shared" si="10"/>
        <v>104.24848897789911</v>
      </c>
      <c r="CD22" s="177">
        <f t="shared" si="10"/>
        <v>104.24848897789911</v>
      </c>
      <c r="CE22" s="177">
        <f t="shared" si="10"/>
        <v>104.24848897789911</v>
      </c>
      <c r="CF22" s="178">
        <f t="shared" si="10"/>
        <v>104.24848897789911</v>
      </c>
      <c r="CG22" s="177">
        <f t="shared" si="10"/>
        <v>104.24848897789911</v>
      </c>
      <c r="CH22" s="177">
        <f t="shared" si="10"/>
        <v>104.24848897789911</v>
      </c>
      <c r="CI22" s="177">
        <f t="shared" si="10"/>
        <v>104.24848897789911</v>
      </c>
      <c r="CJ22" s="177">
        <f t="shared" si="10"/>
        <v>104.24848897789911</v>
      </c>
      <c r="CK22" s="72" t="s">
        <v>1</v>
      </c>
      <c r="CL22" s="193"/>
      <c r="CM22" s="197">
        <v>19</v>
      </c>
      <c r="CN22" s="197">
        <f t="shared" si="0"/>
        <v>-1.9000803506191648</v>
      </c>
      <c r="CO22" s="197">
        <f t="shared" si="1"/>
        <v>10.25253615368012</v>
      </c>
      <c r="CP22" s="197">
        <f t="shared" si="2"/>
        <v>-3.6910691032964569</v>
      </c>
    </row>
    <row r="23" spans="1:94" ht="16" thickBot="1" x14ac:dyDescent="0.4">
      <c r="A23" s="168" t="s">
        <v>88</v>
      </c>
      <c r="B23" s="169">
        <v>0.96</v>
      </c>
      <c r="C23" s="170"/>
      <c r="D23" s="171"/>
      <c r="E23" s="171"/>
      <c r="F23" s="171"/>
      <c r="G23" s="171"/>
      <c r="H23" s="171"/>
      <c r="I23" s="172"/>
      <c r="AE23" s="84"/>
      <c r="AF23" s="62"/>
      <c r="AG23" s="63"/>
      <c r="AH23" s="92" t="s">
        <v>41</v>
      </c>
      <c r="AI23" s="190">
        <f t="shared" ref="AI23:AQ23" si="11">KphToKts*($AE16*KtsToKph-AI15*KtsToKph*(2*aRprime*AI22*KtsToKph+bRprime))</f>
        <v>2.3903917071958327</v>
      </c>
      <c r="AJ23" s="190">
        <f t="shared" si="11"/>
        <v>1.2864431982504567</v>
      </c>
      <c r="AK23" s="190">
        <f t="shared" si="11"/>
        <v>0.64972754552849898</v>
      </c>
      <c r="AL23" s="190">
        <f t="shared" si="11"/>
        <v>0.25808967184654641</v>
      </c>
      <c r="AM23" s="190">
        <f t="shared" si="11"/>
        <v>0</v>
      </c>
      <c r="AN23" s="190">
        <f t="shared" si="11"/>
        <v>-0.18041122705695106</v>
      </c>
      <c r="AO23" s="190">
        <f t="shared" si="11"/>
        <v>-0.3126489724505932</v>
      </c>
      <c r="AP23" s="190">
        <f t="shared" si="11"/>
        <v>-0.41330968137754276</v>
      </c>
      <c r="AQ23" s="190">
        <f t="shared" si="11"/>
        <v>-0.49229437159166278</v>
      </c>
      <c r="AR23" s="93" t="s">
        <v>8</v>
      </c>
      <c r="AT23" s="84"/>
      <c r="AU23" s="62"/>
      <c r="AV23" s="63"/>
      <c r="AW23" s="92" t="s">
        <v>41</v>
      </c>
      <c r="AX23" s="207">
        <f t="shared" ref="AX23:BF23" si="12">$AT16</f>
        <v>0</v>
      </c>
      <c r="AY23" s="207">
        <f t="shared" si="12"/>
        <v>0</v>
      </c>
      <c r="AZ23" s="207">
        <f t="shared" si="12"/>
        <v>0</v>
      </c>
      <c r="BA23" s="207">
        <f t="shared" si="12"/>
        <v>0</v>
      </c>
      <c r="BB23" s="207">
        <f t="shared" si="12"/>
        <v>0</v>
      </c>
      <c r="BC23" s="207">
        <f t="shared" si="12"/>
        <v>0</v>
      </c>
      <c r="BD23" s="207">
        <f t="shared" si="12"/>
        <v>0</v>
      </c>
      <c r="BE23" s="207">
        <f t="shared" si="12"/>
        <v>0</v>
      </c>
      <c r="BF23" s="207">
        <f t="shared" si="12"/>
        <v>0</v>
      </c>
      <c r="BG23" s="93" t="s">
        <v>8</v>
      </c>
      <c r="BI23" s="84"/>
      <c r="BJ23" s="62"/>
      <c r="BK23" s="63"/>
      <c r="BL23" s="92" t="s">
        <v>41</v>
      </c>
      <c r="BM23" s="190">
        <f t="shared" ref="BM23:BU23" si="13">KphToMps*($BI16*MpsToKph-BM15*(2*aRprime*BM22+bRprime))</f>
        <v>1.4903269627611802</v>
      </c>
      <c r="BN23" s="190">
        <f t="shared" si="13"/>
        <v>0.7695487341370234</v>
      </c>
      <c r="BO23" s="190">
        <f t="shared" si="13"/>
        <v>0.37589529273236572</v>
      </c>
      <c r="BP23" s="190">
        <f t="shared" si="13"/>
        <v>0.14580447260003318</v>
      </c>
      <c r="BQ23" s="190">
        <f t="shared" si="13"/>
        <v>0</v>
      </c>
      <c r="BR23" s="190">
        <f t="shared" si="13"/>
        <v>-9.9025987033239518E-2</v>
      </c>
      <c r="BS23" s="190">
        <f t="shared" si="13"/>
        <v>-0.17007632964133201</v>
      </c>
      <c r="BT23" s="190">
        <f t="shared" si="13"/>
        <v>-0.22329263014289522</v>
      </c>
      <c r="BU23" s="190">
        <f t="shared" si="13"/>
        <v>-0.26452849643933807</v>
      </c>
      <c r="BV23" s="93" t="s">
        <v>0</v>
      </c>
      <c r="BX23" s="84"/>
      <c r="BY23" s="62"/>
      <c r="BZ23" s="63"/>
      <c r="CA23" s="92" t="s">
        <v>41</v>
      </c>
      <c r="CB23" s="207">
        <f t="shared" ref="CB23:CJ23" si="14">$BX16</f>
        <v>0</v>
      </c>
      <c r="CC23" s="207">
        <f t="shared" si="14"/>
        <v>0</v>
      </c>
      <c r="CD23" s="207">
        <f t="shared" si="14"/>
        <v>0</v>
      </c>
      <c r="CE23" s="207">
        <f t="shared" si="14"/>
        <v>0</v>
      </c>
      <c r="CF23" s="207">
        <f>$BX16</f>
        <v>0</v>
      </c>
      <c r="CG23" s="207">
        <f t="shared" si="14"/>
        <v>0</v>
      </c>
      <c r="CH23" s="207">
        <f t="shared" si="14"/>
        <v>0</v>
      </c>
      <c r="CI23" s="207">
        <f t="shared" si="14"/>
        <v>0</v>
      </c>
      <c r="CJ23" s="207">
        <f t="shared" si="14"/>
        <v>0</v>
      </c>
      <c r="CK23" s="93" t="s">
        <v>0</v>
      </c>
      <c r="CL23" s="193"/>
      <c r="CM23" s="197">
        <v>20</v>
      </c>
      <c r="CN23" s="197">
        <f t="shared" si="0"/>
        <v>-1.8642935549869035</v>
      </c>
      <c r="CO23" s="197">
        <f t="shared" si="1"/>
        <v>10.792143319663285</v>
      </c>
      <c r="CP23" s="197">
        <f t="shared" si="2"/>
        <v>-3.6215501823617813</v>
      </c>
    </row>
    <row r="24" spans="1:94" ht="15.5" x14ac:dyDescent="0.35">
      <c r="AE24" s="94"/>
      <c r="AF24" s="89"/>
      <c r="AG24" s="61"/>
      <c r="AH24" s="71" t="s">
        <v>49</v>
      </c>
      <c r="AI24" s="95">
        <f t="shared" ref="AI24:AL24" si="15">AI22-AI15</f>
        <v>27.977180409921516</v>
      </c>
      <c r="AJ24" s="95">
        <f t="shared" si="15"/>
        <v>32.835171490504138</v>
      </c>
      <c r="AK24" s="95">
        <f t="shared" si="15"/>
        <v>39.668304097003379</v>
      </c>
      <c r="AL24" s="95">
        <f t="shared" si="15"/>
        <v>47.634023691620406</v>
      </c>
      <c r="AM24" s="95">
        <f>AM22-AM15</f>
        <v>56.253231695391278</v>
      </c>
      <c r="AN24" s="95">
        <f t="shared" ref="AN24:AQ24" si="16">AN22-AN15</f>
        <v>65.267541238328363</v>
      </c>
      <c r="AO24" s="95">
        <f t="shared" si="16"/>
        <v>74.533736002017321</v>
      </c>
      <c r="AP24" s="95">
        <f t="shared" si="16"/>
        <v>83.968468281492022</v>
      </c>
      <c r="AQ24" s="95">
        <f t="shared" si="16"/>
        <v>93.52074384146789</v>
      </c>
      <c r="AR24" s="96" t="s">
        <v>8</v>
      </c>
      <c r="AT24" s="94"/>
      <c r="AU24" s="89"/>
      <c r="AV24" s="61"/>
      <c r="AW24" s="71" t="s">
        <v>49</v>
      </c>
      <c r="AX24" s="95">
        <f t="shared" ref="AX24:BA24" si="17">AX22-AX15</f>
        <v>16.253231695391278</v>
      </c>
      <c r="AY24" s="95">
        <f t="shared" si="17"/>
        <v>26.253231695391278</v>
      </c>
      <c r="AZ24" s="95">
        <f t="shared" si="17"/>
        <v>36.253231695391278</v>
      </c>
      <c r="BA24" s="95">
        <f t="shared" si="17"/>
        <v>46.253231695391278</v>
      </c>
      <c r="BB24" s="95">
        <f>BB22-BB15</f>
        <v>56.253231695391278</v>
      </c>
      <c r="BC24" s="95">
        <f t="shared" ref="BC24:BF24" si="18">BC22-BC15</f>
        <v>66.253231695391278</v>
      </c>
      <c r="BD24" s="95">
        <f t="shared" si="18"/>
        <v>76.253231695391278</v>
      </c>
      <c r="BE24" s="95">
        <f t="shared" si="18"/>
        <v>86.253231695391278</v>
      </c>
      <c r="BF24" s="95">
        <f t="shared" si="18"/>
        <v>96.253231695391278</v>
      </c>
      <c r="BG24" s="96" t="s">
        <v>8</v>
      </c>
      <c r="BI24" s="94"/>
      <c r="BJ24" s="89"/>
      <c r="BK24" s="61"/>
      <c r="BL24" s="71" t="s">
        <v>49</v>
      </c>
      <c r="BM24" s="95">
        <f t="shared" ref="BM24:BU24" si="19">BM22-BM15</f>
        <v>50.099518739013405</v>
      </c>
      <c r="BN24" s="95">
        <f t="shared" si="19"/>
        <v>58.304444058359337</v>
      </c>
      <c r="BO24" s="95">
        <f t="shared" si="19"/>
        <v>71.336208309861505</v>
      </c>
      <c r="BP24" s="95">
        <f t="shared" si="19"/>
        <v>87.053437813228001</v>
      </c>
      <c r="BQ24" s="95">
        <f>BQ22-BQ15</f>
        <v>104.24848897789911</v>
      </c>
      <c r="BR24" s="95">
        <f t="shared" si="19"/>
        <v>122.29960700365619</v>
      </c>
      <c r="BS24" s="95">
        <f t="shared" si="19"/>
        <v>140.87810437510279</v>
      </c>
      <c r="BT24" s="95">
        <f t="shared" si="19"/>
        <v>159.80014615574029</v>
      </c>
      <c r="BU24" s="95">
        <f t="shared" si="19"/>
        <v>178.95679123875001</v>
      </c>
      <c r="BV24" s="96" t="s">
        <v>1</v>
      </c>
      <c r="BX24" s="94"/>
      <c r="BY24" s="89"/>
      <c r="BZ24" s="61"/>
      <c r="CA24" s="71" t="s">
        <v>49</v>
      </c>
      <c r="CB24" s="95">
        <f t="shared" ref="CB24:CE24" si="20">CB22-CB15</f>
        <v>24.248488977899115</v>
      </c>
      <c r="CC24" s="95">
        <f t="shared" si="20"/>
        <v>44.248488977899115</v>
      </c>
      <c r="CD24" s="95">
        <f t="shared" si="20"/>
        <v>64.248488977899115</v>
      </c>
      <c r="CE24" s="95">
        <f t="shared" si="20"/>
        <v>84.248488977899115</v>
      </c>
      <c r="CF24" s="95">
        <f>CF22-CF15</f>
        <v>104.24848897789911</v>
      </c>
      <c r="CG24" s="95">
        <f t="shared" ref="CG24:CJ24" si="21">CG22-CG15</f>
        <v>124.24848897789911</v>
      </c>
      <c r="CH24" s="95">
        <f t="shared" si="21"/>
        <v>144.24848897789911</v>
      </c>
      <c r="CI24" s="95">
        <f t="shared" si="21"/>
        <v>164.24848897789911</v>
      </c>
      <c r="CJ24" s="95">
        <f t="shared" si="21"/>
        <v>184.24848897789911</v>
      </c>
      <c r="CK24" s="96" t="s">
        <v>1</v>
      </c>
      <c r="CL24" s="194"/>
      <c r="CM24" s="197">
        <v>21</v>
      </c>
      <c r="CN24" s="197">
        <f t="shared" si="0"/>
        <v>-1.8289987676679444</v>
      </c>
      <c r="CO24" s="197">
        <f t="shared" si="1"/>
        <v>11.331750485646449</v>
      </c>
      <c r="CP24" s="197">
        <f t="shared" si="2"/>
        <v>-3.552987029788798</v>
      </c>
    </row>
    <row r="25" spans="1:94" ht="15.5" x14ac:dyDescent="0.35">
      <c r="A25" s="3" t="s">
        <v>53</v>
      </c>
      <c r="B25" s="144" t="s">
        <v>177</v>
      </c>
      <c r="C25" s="145"/>
      <c r="D25" s="145"/>
      <c r="E25" s="145"/>
      <c r="F25" s="145"/>
      <c r="G25" s="145"/>
      <c r="H25" s="145"/>
      <c r="I25" s="146"/>
      <c r="AE25" s="84"/>
      <c r="AF25" s="89"/>
      <c r="AG25" s="61"/>
      <c r="AH25" s="71" t="s">
        <v>42</v>
      </c>
      <c r="AI25" s="95">
        <f t="shared" ref="AI25:AL25" si="22">-AI24/AI26</f>
        <v>16.733659123560116</v>
      </c>
      <c r="AJ25" s="95">
        <f t="shared" si="22"/>
        <v>23.320112416000566</v>
      </c>
      <c r="AK25" s="95">
        <f t="shared" si="22"/>
        <v>30.782133430608443</v>
      </c>
      <c r="AL25" s="95">
        <f t="shared" si="22"/>
        <v>38.746223079960139</v>
      </c>
      <c r="AM25" s="95">
        <f>-AM24/AM26</f>
        <v>47.000000000000014</v>
      </c>
      <c r="AN25" s="95">
        <f t="shared" ref="AN25:AQ25" si="23">-AN24/AN26</f>
        <v>55.428922928633796</v>
      </c>
      <c r="AO25" s="95">
        <f t="shared" si="23"/>
        <v>63.969504979455927</v>
      </c>
      <c r="AP25" s="95">
        <f t="shared" si="23"/>
        <v>72.58479864302069</v>
      </c>
      <c r="AQ25" s="95">
        <f t="shared" si="23"/>
        <v>81.252198497971833</v>
      </c>
      <c r="AR25" s="96"/>
      <c r="AT25" s="84"/>
      <c r="AU25" s="89"/>
      <c r="AV25" s="61"/>
      <c r="AW25" s="71" t="s">
        <v>42</v>
      </c>
      <c r="AX25" s="95">
        <f t="shared" ref="AX25:BA25" si="24">-AX24/AX26</f>
        <v>13.579697853091973</v>
      </c>
      <c r="AY25" s="95">
        <f t="shared" si="24"/>
        <v>21.934773389818982</v>
      </c>
      <c r="AZ25" s="95">
        <f t="shared" si="24"/>
        <v>30.289848926545993</v>
      </c>
      <c r="BA25" s="95">
        <f t="shared" si="24"/>
        <v>38.644924463273007</v>
      </c>
      <c r="BB25" s="95">
        <f>-BB24/BB26</f>
        <v>47.000000000000014</v>
      </c>
      <c r="BC25" s="95">
        <f t="shared" ref="BC25:BF25" si="25">-BC24/BC26</f>
        <v>55.355075536727021</v>
      </c>
      <c r="BD25" s="95">
        <f t="shared" si="25"/>
        <v>63.710151073454035</v>
      </c>
      <c r="BE25" s="95">
        <f t="shared" si="25"/>
        <v>72.065226610181043</v>
      </c>
      <c r="BF25" s="95">
        <f t="shared" si="25"/>
        <v>80.420302146908057</v>
      </c>
      <c r="BG25" s="96"/>
      <c r="BI25" s="84"/>
      <c r="BJ25" s="89"/>
      <c r="BK25" s="61"/>
      <c r="BL25" s="71" t="s">
        <v>42</v>
      </c>
      <c r="BM25" s="95">
        <f>-BM24/BM26/MpsToKph</f>
        <v>14.9109710670807</v>
      </c>
      <c r="BN25" s="95">
        <f>-BN24/BN26/MpsToKph</f>
        <v>21.657714355617458</v>
      </c>
      <c r="BO25" s="95">
        <f>-BO24/BO26/MpsToKph</f>
        <v>29.559058934590407</v>
      </c>
      <c r="BP25" s="95">
        <f>-BP24/BP26/MpsToKph</f>
        <v>38.102778717875182</v>
      </c>
      <c r="BQ25" s="95">
        <f>-BQ24/BQ26/MpsToKph</f>
        <v>47.000000000000007</v>
      </c>
      <c r="BR25" s="95">
        <f>-BR24/BR26/MpsToKph</f>
        <v>56.101996273874484</v>
      </c>
      <c r="BS25" s="95">
        <f>-BS24/BS26/MpsToKph</f>
        <v>65.330144027349135</v>
      </c>
      <c r="BT25" s="95">
        <f>-BT24/BT26/MpsToKph</f>
        <v>74.640469127892572</v>
      </c>
      <c r="BU25" s="95">
        <f>-BU24/BU26/MpsToKph</f>
        <v>84.006912379355853</v>
      </c>
      <c r="BV25" s="96"/>
      <c r="BX25" s="84"/>
      <c r="BY25" s="89"/>
      <c r="BZ25" s="61"/>
      <c r="CA25" s="71" t="s">
        <v>42</v>
      </c>
      <c r="CB25" s="95">
        <f>-CB24/CB26/MpsToKph</f>
        <v>10.932330944411797</v>
      </c>
      <c r="CC25" s="95">
        <f>-CC24/CC26/MpsToKph</f>
        <v>19.949248208308848</v>
      </c>
      <c r="CD25" s="95">
        <f>-CD24/CD26/MpsToKph</f>
        <v>28.966165472205901</v>
      </c>
      <c r="CE25" s="95">
        <f>-CE24/CE26/MpsToKph</f>
        <v>37.983082736102958</v>
      </c>
      <c r="CF25" s="95">
        <f>-CF24/CF26/MpsToKph</f>
        <v>47.000000000000007</v>
      </c>
      <c r="CG25" s="95">
        <f>-CG24/CG26/MpsToKph</f>
        <v>56.016917263897057</v>
      </c>
      <c r="CH25" s="95">
        <f>-CH24/CH26/MpsToKph</f>
        <v>65.033834527794113</v>
      </c>
      <c r="CI25" s="95">
        <f>-CI24/CI26/MpsToKph</f>
        <v>74.05075179169117</v>
      </c>
      <c r="CJ25" s="95">
        <f>-CJ24/CJ26/MpsToKph</f>
        <v>83.067669055588212</v>
      </c>
      <c r="CK25" s="96"/>
      <c r="CL25" s="194"/>
      <c r="CM25" s="197">
        <v>22</v>
      </c>
      <c r="CN25" s="197">
        <f t="shared" si="0"/>
        <v>-1.7941959886622871</v>
      </c>
      <c r="CO25" s="197">
        <f t="shared" si="1"/>
        <v>11.871357651629614</v>
      </c>
      <c r="CP25" s="197">
        <f t="shared" si="2"/>
        <v>-3.4853796455775061</v>
      </c>
    </row>
    <row r="26" spans="1:94" ht="16" thickBot="1" x14ac:dyDescent="0.4">
      <c r="A26" s="3" t="s">
        <v>54</v>
      </c>
      <c r="B26" s="143" t="s">
        <v>178</v>
      </c>
      <c r="C26" s="16"/>
      <c r="D26" s="16"/>
      <c r="E26" s="16"/>
      <c r="F26" s="16"/>
      <c r="G26" s="16"/>
      <c r="H26" s="16"/>
      <c r="I26" s="13"/>
      <c r="AE26" s="97"/>
      <c r="AF26" s="64"/>
      <c r="AG26" s="65"/>
      <c r="AH26" s="98" t="s">
        <v>43</v>
      </c>
      <c r="AI26" s="191">
        <f t="shared" ref="AI26:AQ26" si="26">KphToKts*(aRprime*(AI22*KtsToKph)^2+bRprime*AI22*KtsToKph+cRprime)</f>
        <v>-1.6719105010649531</v>
      </c>
      <c r="AJ26" s="191">
        <f t="shared" si="26"/>
        <v>-1.4080194342448809</v>
      </c>
      <c r="AK26" s="191">
        <f t="shared" si="26"/>
        <v>-1.2886794928112066</v>
      </c>
      <c r="AL26" s="191">
        <f t="shared" si="26"/>
        <v>-1.2293849543300934</v>
      </c>
      <c r="AM26" s="191">
        <f t="shared" si="26"/>
        <v>-1.1968772701147077</v>
      </c>
      <c r="AN26" s="191">
        <f t="shared" si="26"/>
        <v>-1.1774997201796984</v>
      </c>
      <c r="AO26" s="191">
        <f t="shared" si="26"/>
        <v>-1.1651447986967249</v>
      </c>
      <c r="AP26" s="191">
        <f t="shared" si="26"/>
        <v>-1.1568326957061266</v>
      </c>
      <c r="AQ26" s="191">
        <f t="shared" si="26"/>
        <v>-1.1509933955055049</v>
      </c>
      <c r="AR26" s="99" t="s">
        <v>8</v>
      </c>
      <c r="AT26" s="97"/>
      <c r="AU26" s="64"/>
      <c r="AV26" s="65"/>
      <c r="AW26" s="98" t="s">
        <v>43</v>
      </c>
      <c r="AX26" s="191">
        <f t="shared" ref="AX26:BF26" si="27">KphToKts*(aRprime*(AX22*KtsToKph)^2+bRprime*AX22*KtsToKph+cRprime)</f>
        <v>-1.1968772701147077</v>
      </c>
      <c r="AY26" s="191">
        <f t="shared" si="27"/>
        <v>-1.1968772701147077</v>
      </c>
      <c r="AZ26" s="191">
        <f t="shared" si="27"/>
        <v>-1.1968772701147077</v>
      </c>
      <c r="BA26" s="191">
        <f t="shared" si="27"/>
        <v>-1.1968772701147077</v>
      </c>
      <c r="BB26" s="191">
        <f t="shared" si="27"/>
        <v>-1.1968772701147077</v>
      </c>
      <c r="BC26" s="191">
        <f t="shared" si="27"/>
        <v>-1.1968772701147077</v>
      </c>
      <c r="BD26" s="191">
        <f t="shared" si="27"/>
        <v>-1.1968772701147077</v>
      </c>
      <c r="BE26" s="191">
        <f t="shared" si="27"/>
        <v>-1.1968772701147077</v>
      </c>
      <c r="BF26" s="191">
        <f t="shared" si="27"/>
        <v>-1.1968772701147077</v>
      </c>
      <c r="BG26" s="99" t="s">
        <v>8</v>
      </c>
      <c r="BI26" s="97"/>
      <c r="BJ26" s="64"/>
      <c r="BK26" s="65"/>
      <c r="BL26" s="98" t="s">
        <v>43</v>
      </c>
      <c r="BM26" s="191">
        <f>KphToMps*(aRprime*BM22^2+bRprime*BM22+cRprime)</f>
        <v>-0.9333082949763839</v>
      </c>
      <c r="BN26" s="191">
        <f>KphToMps*(aRprime*BN22^2+bRprime*BN22+cRprime)</f>
        <v>-0.74780185199455596</v>
      </c>
      <c r="BO26" s="191">
        <f>KphToMps*(aRprime*BO22^2+bRprime*BO22+cRprime)</f>
        <v>-0.67037362262631017</v>
      </c>
      <c r="BP26" s="191">
        <f>KphToMps*(aRprime*BP22^2+bRprime*BP22+cRprime)</f>
        <v>-0.63463902941887429</v>
      </c>
      <c r="BQ26" s="191">
        <f>KphToMps*(aRprime*BQ22^2+bRprime*BQ22+cRprime)</f>
        <v>-0.61612582138238237</v>
      </c>
      <c r="BR26" s="191">
        <f>KphToMps*(aRprime*BR22^2+bRprime*BR22+cRprime)</f>
        <v>-0.60554196486571832</v>
      </c>
      <c r="BS26" s="191">
        <f>KphToMps*(aRprime*BS22^2+bRprime*BS22+cRprime)</f>
        <v>-0.59900077297364795</v>
      </c>
      <c r="BT26" s="191">
        <f>KphToMps*(aRprime*BT22^2+bRprime*BT22+cRprime)</f>
        <v>-0.59470324887223724</v>
      </c>
      <c r="BU26" s="191">
        <f>KphToMps*(aRprime*BU22^2+bRprime*BU22+cRprime)</f>
        <v>-0.59173963642493821</v>
      </c>
      <c r="BV26" s="99" t="s">
        <v>0</v>
      </c>
      <c r="BX26" s="97"/>
      <c r="BY26" s="64"/>
      <c r="BZ26" s="65"/>
      <c r="CA26" s="98" t="s">
        <v>43</v>
      </c>
      <c r="CB26" s="191">
        <f>KphToMps*(aRprime*CB22^2+bRprime*CB22+cRprime)</f>
        <v>-0.61612582138238237</v>
      </c>
      <c r="CC26" s="191">
        <f>KphToMps*(aRprime*CC22^2+bRprime*CC22+cRprime)</f>
        <v>-0.61612582138238237</v>
      </c>
      <c r="CD26" s="191">
        <f>KphToMps*(aRprime*CD22^2+bRprime*CD22+cRprime)</f>
        <v>-0.61612582138238237</v>
      </c>
      <c r="CE26" s="191">
        <f>KphToMps*(aRprime*CE22^2+bRprime*CE22+cRprime)</f>
        <v>-0.61612582138238237</v>
      </c>
      <c r="CF26" s="191">
        <f>KphToMps*(aRprime*CF22^2+bRprime*CF22+cRprime)</f>
        <v>-0.61612582138238237</v>
      </c>
      <c r="CG26" s="191">
        <f>KphToMps*(aRprime*CG22^2+bRprime*CG22+cRprime)</f>
        <v>-0.61612582138238237</v>
      </c>
      <c r="CH26" s="191">
        <f>KphToMps*(aRprime*CH22^2+bRprime*CH22+cRprime)</f>
        <v>-0.61612582138238237</v>
      </c>
      <c r="CI26" s="191">
        <f>KphToMps*(aRprime*CI22^2+bRprime*CI22+cRprime)</f>
        <v>-0.61612582138238237</v>
      </c>
      <c r="CJ26" s="191">
        <f>KphToMps*(aRprime*CJ22^2+bRprime*CJ22+cRprime)</f>
        <v>-0.61612582138238237</v>
      </c>
      <c r="CK26" s="99" t="s">
        <v>0</v>
      </c>
      <c r="CL26" s="194"/>
      <c r="CM26" s="197">
        <v>23</v>
      </c>
      <c r="CN26" s="197">
        <f t="shared" si="0"/>
        <v>-1.7598852179699316</v>
      </c>
      <c r="CO26" s="197">
        <f t="shared" si="1"/>
        <v>12.410964817612777</v>
      </c>
      <c r="CP26" s="197">
        <f t="shared" si="2"/>
        <v>-3.4187280297279052</v>
      </c>
    </row>
    <row r="27" spans="1:94" ht="16" thickTop="1" x14ac:dyDescent="0.35">
      <c r="A27" s="24" t="s">
        <v>64</v>
      </c>
      <c r="B27" s="6">
        <v>491</v>
      </c>
      <c r="C27" s="3" t="s">
        <v>7</v>
      </c>
      <c r="D27" s="16"/>
      <c r="E27" s="16"/>
      <c r="F27" s="16"/>
      <c r="G27" s="16"/>
      <c r="H27" s="26">
        <f>B27*KgToLb</f>
        <v>1082.655</v>
      </c>
      <c r="I27" s="3" t="s">
        <v>9</v>
      </c>
      <c r="AE27" s="66" t="s">
        <v>16</v>
      </c>
      <c r="AF27" s="67"/>
      <c r="AG27" s="68"/>
      <c r="AH27" s="69"/>
      <c r="AI27" s="45" t="s">
        <v>34</v>
      </c>
      <c r="AJ27" s="51"/>
      <c r="AK27" s="51"/>
      <c r="AL27" s="51"/>
      <c r="AM27" s="70" t="s">
        <v>35</v>
      </c>
      <c r="AN27" s="51"/>
      <c r="AO27" s="51"/>
      <c r="AP27" s="51"/>
      <c r="AQ27" s="71" t="s">
        <v>36</v>
      </c>
      <c r="AR27" s="72" t="s">
        <v>37</v>
      </c>
      <c r="AT27" s="66" t="s">
        <v>16</v>
      </c>
      <c r="AU27" s="67"/>
      <c r="AV27" s="68"/>
      <c r="AW27" s="69"/>
      <c r="AX27" s="45" t="s">
        <v>34</v>
      </c>
      <c r="AY27" s="51"/>
      <c r="AZ27" s="51"/>
      <c r="BA27" s="51"/>
      <c r="BB27" s="70" t="s">
        <v>35</v>
      </c>
      <c r="BC27" s="51"/>
      <c r="BD27" s="51"/>
      <c r="BE27" s="51"/>
      <c r="BF27" s="71" t="s">
        <v>36</v>
      </c>
      <c r="BG27" s="72" t="s">
        <v>37</v>
      </c>
      <c r="BI27" s="66" t="s">
        <v>16</v>
      </c>
      <c r="BJ27" s="67"/>
      <c r="BK27" s="68"/>
      <c r="BL27" s="69"/>
      <c r="BM27" s="45" t="s">
        <v>34</v>
      </c>
      <c r="BN27" s="51"/>
      <c r="BO27" s="51"/>
      <c r="BP27" s="51"/>
      <c r="BQ27" s="70" t="s">
        <v>35</v>
      </c>
      <c r="BR27" s="51"/>
      <c r="BS27" s="51"/>
      <c r="BT27" s="51"/>
      <c r="BU27" s="71" t="s">
        <v>36</v>
      </c>
      <c r="BV27" s="72" t="s">
        <v>37</v>
      </c>
      <c r="BX27" s="66" t="s">
        <v>16</v>
      </c>
      <c r="BY27" s="67"/>
      <c r="BZ27" s="68"/>
      <c r="CA27" s="69"/>
      <c r="CB27" s="45" t="s">
        <v>34</v>
      </c>
      <c r="CC27" s="51"/>
      <c r="CD27" s="51"/>
      <c r="CE27" s="51"/>
      <c r="CF27" s="70" t="s">
        <v>35</v>
      </c>
      <c r="CG27" s="51"/>
      <c r="CH27" s="51"/>
      <c r="CI27" s="51"/>
      <c r="CJ27" s="71" t="s">
        <v>36</v>
      </c>
      <c r="CK27" s="72" t="s">
        <v>37</v>
      </c>
      <c r="CL27" s="193"/>
      <c r="CM27" s="197">
        <v>24</v>
      </c>
      <c r="CN27" s="197">
        <f t="shared" si="0"/>
        <v>-1.7260664555908778</v>
      </c>
      <c r="CO27" s="197">
        <f t="shared" si="1"/>
        <v>12.950571983595943</v>
      </c>
      <c r="CP27" s="197">
        <f t="shared" si="2"/>
        <v>-3.3530321822399962</v>
      </c>
    </row>
    <row r="28" spans="1:94" ht="15.5" x14ac:dyDescent="0.35">
      <c r="A28" s="24" t="s">
        <v>65</v>
      </c>
      <c r="B28" s="113">
        <v>579</v>
      </c>
      <c r="C28" s="3" t="s">
        <v>7</v>
      </c>
      <c r="D28" s="16"/>
      <c r="E28" s="12"/>
      <c r="F28" s="12"/>
      <c r="G28" s="16"/>
      <c r="H28" s="26">
        <f>B28*KgToLb</f>
        <v>1276.6949999999999</v>
      </c>
      <c r="I28" s="3" t="s">
        <v>9</v>
      </c>
      <c r="AE28" s="73" t="s">
        <v>8</v>
      </c>
      <c r="AF28" s="74"/>
      <c r="AG28" s="75"/>
      <c r="AH28" s="76"/>
      <c r="AI28" s="77">
        <v>40</v>
      </c>
      <c r="AJ28" s="78">
        <v>30</v>
      </c>
      <c r="AK28" s="78">
        <v>20</v>
      </c>
      <c r="AL28" s="78">
        <v>10</v>
      </c>
      <c r="AM28" s="78">
        <v>0</v>
      </c>
      <c r="AN28" s="78">
        <v>-10</v>
      </c>
      <c r="AO28" s="78">
        <v>-20</v>
      </c>
      <c r="AP28" s="78">
        <v>-30</v>
      </c>
      <c r="AQ28" s="79">
        <v>-40</v>
      </c>
      <c r="AR28" s="80" t="s">
        <v>8</v>
      </c>
      <c r="AT28" s="73" t="s">
        <v>8</v>
      </c>
      <c r="AU28" s="74"/>
      <c r="AV28" s="75"/>
      <c r="AW28" s="76"/>
      <c r="AX28" s="77">
        <v>40</v>
      </c>
      <c r="AY28" s="78">
        <v>30</v>
      </c>
      <c r="AZ28" s="78">
        <v>20</v>
      </c>
      <c r="BA28" s="78">
        <v>10</v>
      </c>
      <c r="BB28" s="78">
        <v>0</v>
      </c>
      <c r="BC28" s="78">
        <v>-10</v>
      </c>
      <c r="BD28" s="78">
        <v>-20</v>
      </c>
      <c r="BE28" s="78">
        <v>-30</v>
      </c>
      <c r="BF28" s="79">
        <v>-40</v>
      </c>
      <c r="BG28" s="80" t="s">
        <v>8</v>
      </c>
      <c r="BI28" s="73" t="s">
        <v>0</v>
      </c>
      <c r="BJ28" s="74"/>
      <c r="BK28" s="75"/>
      <c r="BL28" s="76"/>
      <c r="BM28" s="77">
        <v>80</v>
      </c>
      <c r="BN28" s="78">
        <v>60</v>
      </c>
      <c r="BO28" s="78">
        <v>40</v>
      </c>
      <c r="BP28" s="78">
        <v>20</v>
      </c>
      <c r="BQ28" s="78">
        <v>0</v>
      </c>
      <c r="BR28" s="78">
        <v>-20</v>
      </c>
      <c r="BS28" s="78">
        <v>-40</v>
      </c>
      <c r="BT28" s="78">
        <v>-60</v>
      </c>
      <c r="BU28" s="79">
        <v>-80</v>
      </c>
      <c r="BV28" s="80" t="s">
        <v>1</v>
      </c>
      <c r="BX28" s="73" t="s">
        <v>0</v>
      </c>
      <c r="BY28" s="74"/>
      <c r="BZ28" s="75"/>
      <c r="CA28" s="76"/>
      <c r="CB28" s="77">
        <v>80</v>
      </c>
      <c r="CC28" s="78">
        <v>60</v>
      </c>
      <c r="CD28" s="78">
        <v>40</v>
      </c>
      <c r="CE28" s="78">
        <v>20</v>
      </c>
      <c r="CF28" s="78">
        <v>0</v>
      </c>
      <c r="CG28" s="78">
        <v>-20</v>
      </c>
      <c r="CH28" s="78">
        <v>-40</v>
      </c>
      <c r="CI28" s="78">
        <v>-60</v>
      </c>
      <c r="CJ28" s="79">
        <v>-80</v>
      </c>
      <c r="CK28" s="80" t="s">
        <v>1</v>
      </c>
      <c r="CL28" s="193"/>
      <c r="CM28" s="197">
        <v>25</v>
      </c>
      <c r="CN28" s="197">
        <f t="shared" si="0"/>
        <v>-1.692739701525126</v>
      </c>
      <c r="CO28" s="197">
        <f t="shared" si="1"/>
        <v>13.490179149579106</v>
      </c>
      <c r="CP28" s="197">
        <f t="shared" si="2"/>
        <v>-3.2882921031137782</v>
      </c>
    </row>
    <row r="29" spans="1:94" ht="15.5" x14ac:dyDescent="0.35">
      <c r="A29" s="24" t="s">
        <v>63</v>
      </c>
      <c r="B29" s="6">
        <v>160</v>
      </c>
      <c r="C29" s="24" t="s">
        <v>59</v>
      </c>
      <c r="D29" s="16"/>
      <c r="E29" s="136">
        <f>Max_Water*KgToGallon</f>
        <v>42.272126816380442</v>
      </c>
      <c r="F29" s="3" t="s">
        <v>13</v>
      </c>
      <c r="G29" s="16"/>
      <c r="H29" s="26">
        <f>Max_Water*KgToLb</f>
        <v>352.8</v>
      </c>
      <c r="I29" s="3" t="s">
        <v>9</v>
      </c>
      <c r="AE29" s="66">
        <v>1</v>
      </c>
      <c r="AF29" s="81" t="s">
        <v>38</v>
      </c>
      <c r="AG29" s="60">
        <v>5</v>
      </c>
      <c r="AH29" s="71" t="s">
        <v>39</v>
      </c>
      <c r="AI29" s="82">
        <f t="shared" ref="AI29:AQ34" si="28">ROUND($AG29*SmiToFt/AI$38+$AI$11+$AI$12,-2)</f>
        <v>3600</v>
      </c>
      <c r="AJ29" s="82">
        <f t="shared" si="28"/>
        <v>3100</v>
      </c>
      <c r="AK29" s="82">
        <f t="shared" si="28"/>
        <v>2800</v>
      </c>
      <c r="AL29" s="82">
        <f t="shared" si="28"/>
        <v>2600</v>
      </c>
      <c r="AM29" s="83">
        <f t="shared" si="28"/>
        <v>2500</v>
      </c>
      <c r="AN29" s="82">
        <f t="shared" si="28"/>
        <v>2400</v>
      </c>
      <c r="AO29" s="82">
        <f t="shared" si="28"/>
        <v>2300</v>
      </c>
      <c r="AP29" s="82">
        <f t="shared" si="28"/>
        <v>2300</v>
      </c>
      <c r="AQ29" s="82">
        <f t="shared" si="28"/>
        <v>2200</v>
      </c>
      <c r="AR29" s="72" t="s">
        <v>33</v>
      </c>
      <c r="AT29" s="66">
        <v>1</v>
      </c>
      <c r="AU29" s="81" t="s">
        <v>38</v>
      </c>
      <c r="AV29" s="60">
        <v>5</v>
      </c>
      <c r="AW29" s="71" t="s">
        <v>39</v>
      </c>
      <c r="AX29" s="82">
        <f t="shared" ref="AX29:BF34" si="29">ROUND($AV29*SmiToFt/AX$38+$AX$11+$AX$12,-2)</f>
        <v>3600</v>
      </c>
      <c r="AY29" s="82">
        <f t="shared" si="29"/>
        <v>3100</v>
      </c>
      <c r="AZ29" s="82">
        <f t="shared" si="29"/>
        <v>2800</v>
      </c>
      <c r="BA29" s="82">
        <f t="shared" si="29"/>
        <v>2600</v>
      </c>
      <c r="BB29" s="83">
        <f t="shared" si="29"/>
        <v>2500</v>
      </c>
      <c r="BC29" s="82">
        <f t="shared" si="29"/>
        <v>2400</v>
      </c>
      <c r="BD29" s="82">
        <f t="shared" si="29"/>
        <v>2400</v>
      </c>
      <c r="BE29" s="82">
        <f t="shared" si="29"/>
        <v>2300</v>
      </c>
      <c r="BF29" s="82">
        <f t="shared" si="29"/>
        <v>2300</v>
      </c>
      <c r="BG29" s="72" t="s">
        <v>33</v>
      </c>
      <c r="BI29" s="66">
        <v>0.5</v>
      </c>
      <c r="BJ29" s="81" t="s">
        <v>38</v>
      </c>
      <c r="BK29" s="60">
        <v>10</v>
      </c>
      <c r="BL29" s="71" t="s">
        <v>170</v>
      </c>
      <c r="BM29" s="82">
        <f t="shared" ref="BM29:BU34" si="30">ROUND($BK29*1000/BM$38+$BM$11+$BM$12,-1)</f>
        <v>1290</v>
      </c>
      <c r="BN29" s="82">
        <f t="shared" si="30"/>
        <v>1070</v>
      </c>
      <c r="BO29" s="82">
        <f t="shared" si="30"/>
        <v>940</v>
      </c>
      <c r="BP29" s="82">
        <f t="shared" si="30"/>
        <v>850</v>
      </c>
      <c r="BQ29" s="83">
        <f t="shared" si="30"/>
        <v>800</v>
      </c>
      <c r="BR29" s="82">
        <f t="shared" si="30"/>
        <v>760</v>
      </c>
      <c r="BS29" s="82">
        <f t="shared" si="30"/>
        <v>740</v>
      </c>
      <c r="BT29" s="82">
        <f t="shared" si="30"/>
        <v>720</v>
      </c>
      <c r="BU29" s="82">
        <f t="shared" si="30"/>
        <v>700</v>
      </c>
      <c r="BV29" s="72" t="s">
        <v>164</v>
      </c>
      <c r="BX29" s="66">
        <v>0.5</v>
      </c>
      <c r="BY29" s="81" t="s">
        <v>38</v>
      </c>
      <c r="BZ29" s="60">
        <v>10</v>
      </c>
      <c r="CA29" s="71" t="s">
        <v>170</v>
      </c>
      <c r="CB29" s="82">
        <f t="shared" ref="CB29:CJ34" si="31">ROUND($BZ29*1000/CB$38+$CB$11+$CB$12,-1)</f>
        <v>1320</v>
      </c>
      <c r="CC29" s="82">
        <f t="shared" si="31"/>
        <v>1050</v>
      </c>
      <c r="CD29" s="82">
        <f t="shared" si="31"/>
        <v>920</v>
      </c>
      <c r="CE29" s="82">
        <f t="shared" si="31"/>
        <v>850</v>
      </c>
      <c r="CF29" s="83">
        <f>ROUND($BZ29*1000/CF$38+$CB$11+$CB$12,-1)</f>
        <v>800</v>
      </c>
      <c r="CG29" s="82">
        <f t="shared" si="31"/>
        <v>770</v>
      </c>
      <c r="CH29" s="82">
        <f t="shared" si="31"/>
        <v>740</v>
      </c>
      <c r="CI29" s="82">
        <f t="shared" si="31"/>
        <v>720</v>
      </c>
      <c r="CJ29" s="82">
        <f t="shared" si="31"/>
        <v>710</v>
      </c>
      <c r="CK29" s="72" t="s">
        <v>164</v>
      </c>
      <c r="CL29" s="193"/>
      <c r="CM29" s="197">
        <v>26</v>
      </c>
      <c r="CN29" s="197">
        <f t="shared" si="0"/>
        <v>-1.6599049557726757</v>
      </c>
      <c r="CO29" s="197">
        <f t="shared" si="1"/>
        <v>14.029786315562271</v>
      </c>
      <c r="CP29" s="197">
        <f t="shared" si="2"/>
        <v>-3.2245077923492511</v>
      </c>
    </row>
    <row r="30" spans="1:94" ht="15.5" x14ac:dyDescent="0.35">
      <c r="A30" s="32" t="s">
        <v>62</v>
      </c>
      <c r="B30" s="27">
        <v>0</v>
      </c>
      <c r="C30" s="24" t="s">
        <v>59</v>
      </c>
      <c r="D30" s="16"/>
      <c r="E30" s="136">
        <f>B30*KgToGallon</f>
        <v>0</v>
      </c>
      <c r="F30" s="3" t="s">
        <v>13</v>
      </c>
      <c r="G30" s="16"/>
      <c r="H30" s="26">
        <f>Max_Water*KgToLb</f>
        <v>352.8</v>
      </c>
      <c r="I30" s="3" t="s">
        <v>9</v>
      </c>
      <c r="AE30" s="84"/>
      <c r="AF30" s="53"/>
      <c r="AG30" s="85">
        <v>10</v>
      </c>
      <c r="AH30" s="86" t="s">
        <v>39</v>
      </c>
      <c r="AI30" s="82">
        <f t="shared" si="28"/>
        <v>5300</v>
      </c>
      <c r="AJ30" s="82">
        <f t="shared" si="28"/>
        <v>4300</v>
      </c>
      <c r="AK30" s="82">
        <f t="shared" si="28"/>
        <v>3700</v>
      </c>
      <c r="AL30" s="82">
        <f t="shared" si="28"/>
        <v>3300</v>
      </c>
      <c r="AM30" s="83">
        <f t="shared" si="28"/>
        <v>3100</v>
      </c>
      <c r="AN30" s="82">
        <f t="shared" si="28"/>
        <v>2900</v>
      </c>
      <c r="AO30" s="82">
        <f t="shared" si="28"/>
        <v>2800</v>
      </c>
      <c r="AP30" s="82">
        <f t="shared" si="28"/>
        <v>2700</v>
      </c>
      <c r="AQ30" s="82">
        <f t="shared" si="28"/>
        <v>2600</v>
      </c>
      <c r="AR30" s="87" t="s">
        <v>33</v>
      </c>
      <c r="AT30" s="84"/>
      <c r="AU30" s="53"/>
      <c r="AV30" s="85">
        <v>10</v>
      </c>
      <c r="AW30" s="86" t="s">
        <v>39</v>
      </c>
      <c r="AX30" s="82">
        <f t="shared" si="29"/>
        <v>5200</v>
      </c>
      <c r="AY30" s="82">
        <f t="shared" si="29"/>
        <v>4200</v>
      </c>
      <c r="AZ30" s="82">
        <f t="shared" si="29"/>
        <v>3600</v>
      </c>
      <c r="BA30" s="82">
        <f t="shared" si="29"/>
        <v>3300</v>
      </c>
      <c r="BB30" s="83">
        <f t="shared" si="29"/>
        <v>3100</v>
      </c>
      <c r="BC30" s="82">
        <f t="shared" si="29"/>
        <v>2900</v>
      </c>
      <c r="BD30" s="82">
        <f t="shared" si="29"/>
        <v>2800</v>
      </c>
      <c r="BE30" s="82">
        <f t="shared" si="29"/>
        <v>2700</v>
      </c>
      <c r="BF30" s="82">
        <f t="shared" si="29"/>
        <v>2600</v>
      </c>
      <c r="BG30" s="87" t="s">
        <v>33</v>
      </c>
      <c r="BI30" s="84"/>
      <c r="BJ30" s="53"/>
      <c r="BK30" s="85">
        <v>20</v>
      </c>
      <c r="BL30" s="86" t="s">
        <v>170</v>
      </c>
      <c r="BM30" s="82">
        <f t="shared" si="30"/>
        <v>2000</v>
      </c>
      <c r="BN30" s="82">
        <f t="shared" si="30"/>
        <v>1560</v>
      </c>
      <c r="BO30" s="82">
        <f t="shared" si="30"/>
        <v>1290</v>
      </c>
      <c r="BP30" s="82">
        <f t="shared" si="30"/>
        <v>1130</v>
      </c>
      <c r="BQ30" s="83">
        <f t="shared" si="30"/>
        <v>1020</v>
      </c>
      <c r="BR30" s="82">
        <f t="shared" si="30"/>
        <v>950</v>
      </c>
      <c r="BS30" s="82">
        <f t="shared" si="30"/>
        <v>890</v>
      </c>
      <c r="BT30" s="82">
        <f t="shared" si="30"/>
        <v>850</v>
      </c>
      <c r="BU30" s="82">
        <f t="shared" si="30"/>
        <v>820</v>
      </c>
      <c r="BV30" s="87" t="s">
        <v>164</v>
      </c>
      <c r="BX30" s="84"/>
      <c r="BY30" s="53"/>
      <c r="BZ30" s="85">
        <v>20</v>
      </c>
      <c r="CA30" s="86" t="s">
        <v>170</v>
      </c>
      <c r="CB30" s="82">
        <f t="shared" si="31"/>
        <v>2070</v>
      </c>
      <c r="CC30" s="82">
        <f t="shared" si="31"/>
        <v>1510</v>
      </c>
      <c r="CD30" s="82">
        <f t="shared" si="31"/>
        <v>1260</v>
      </c>
      <c r="CE30" s="82">
        <f t="shared" si="31"/>
        <v>1110</v>
      </c>
      <c r="CF30" s="83">
        <f t="shared" ref="CF30:CF34" si="32">ROUND($BZ30*1000/CF$38+$CB$11+$CB$12,-1)</f>
        <v>1020</v>
      </c>
      <c r="CG30" s="82">
        <f t="shared" si="31"/>
        <v>950</v>
      </c>
      <c r="CH30" s="82">
        <f t="shared" si="31"/>
        <v>900</v>
      </c>
      <c r="CI30" s="82">
        <f t="shared" si="31"/>
        <v>870</v>
      </c>
      <c r="CJ30" s="82">
        <f t="shared" si="31"/>
        <v>840</v>
      </c>
      <c r="CK30" s="87" t="s">
        <v>164</v>
      </c>
      <c r="CL30" s="193"/>
      <c r="CM30" s="197">
        <v>27</v>
      </c>
      <c r="CN30" s="197">
        <f t="shared" si="0"/>
        <v>-1.6275622183335272</v>
      </c>
      <c r="CO30" s="197">
        <f t="shared" si="1"/>
        <v>14.569393481545434</v>
      </c>
      <c r="CP30" s="197">
        <f t="shared" si="2"/>
        <v>-3.1616792499464164</v>
      </c>
    </row>
    <row r="31" spans="1:94" ht="15.5" x14ac:dyDescent="0.35">
      <c r="A31" s="114" t="s">
        <v>58</v>
      </c>
      <c r="B31" s="113">
        <v>750</v>
      </c>
      <c r="C31" s="3" t="s">
        <v>7</v>
      </c>
      <c r="D31" s="16"/>
      <c r="E31" s="16"/>
      <c r="F31" s="16"/>
      <c r="G31" s="16"/>
      <c r="H31" s="26">
        <f>B31*KgToLb</f>
        <v>1653.75</v>
      </c>
      <c r="I31" s="3" t="s">
        <v>9</v>
      </c>
      <c r="AE31" s="84"/>
      <c r="AF31" s="53"/>
      <c r="AG31" s="85">
        <v>20</v>
      </c>
      <c r="AH31" s="86" t="s">
        <v>39</v>
      </c>
      <c r="AI31" s="82">
        <f t="shared" si="28"/>
        <v>8600</v>
      </c>
      <c r="AJ31" s="82">
        <f t="shared" si="28"/>
        <v>6700</v>
      </c>
      <c r="AK31" s="82">
        <f t="shared" si="28"/>
        <v>5500</v>
      </c>
      <c r="AL31" s="82">
        <f t="shared" si="28"/>
        <v>4800</v>
      </c>
      <c r="AM31" s="83">
        <f t="shared" si="28"/>
        <v>4200</v>
      </c>
      <c r="AN31" s="82">
        <f t="shared" si="28"/>
        <v>3900</v>
      </c>
      <c r="AO31" s="82">
        <f t="shared" si="28"/>
        <v>3600</v>
      </c>
      <c r="AP31" s="82">
        <f t="shared" si="28"/>
        <v>3400</v>
      </c>
      <c r="AQ31" s="82">
        <f t="shared" si="28"/>
        <v>3200</v>
      </c>
      <c r="AR31" s="87" t="s">
        <v>33</v>
      </c>
      <c r="AT31" s="84"/>
      <c r="AU31" s="53"/>
      <c r="AV31" s="85">
        <v>20</v>
      </c>
      <c r="AW31" s="86" t="s">
        <v>39</v>
      </c>
      <c r="AX31" s="82">
        <f t="shared" si="29"/>
        <v>8600</v>
      </c>
      <c r="AY31" s="82">
        <f t="shared" si="29"/>
        <v>6500</v>
      </c>
      <c r="AZ31" s="82">
        <f t="shared" si="29"/>
        <v>5400</v>
      </c>
      <c r="BA31" s="82">
        <f t="shared" si="29"/>
        <v>4700</v>
      </c>
      <c r="BB31" s="83">
        <f t="shared" si="29"/>
        <v>4200</v>
      </c>
      <c r="BC31" s="82">
        <f t="shared" si="29"/>
        <v>3900</v>
      </c>
      <c r="BD31" s="82">
        <f t="shared" si="29"/>
        <v>3700</v>
      </c>
      <c r="BE31" s="82">
        <f t="shared" si="29"/>
        <v>3500</v>
      </c>
      <c r="BF31" s="82">
        <f t="shared" si="29"/>
        <v>3300</v>
      </c>
      <c r="BG31" s="87" t="s">
        <v>33</v>
      </c>
      <c r="BI31" s="84"/>
      <c r="BJ31" s="53"/>
      <c r="BK31" s="85">
        <v>30</v>
      </c>
      <c r="BL31" s="86" t="s">
        <v>170</v>
      </c>
      <c r="BM31" s="82">
        <f t="shared" si="30"/>
        <v>2710</v>
      </c>
      <c r="BN31" s="82">
        <f t="shared" si="30"/>
        <v>2050</v>
      </c>
      <c r="BO31" s="82">
        <f t="shared" si="30"/>
        <v>1650</v>
      </c>
      <c r="BP31" s="82">
        <f t="shared" si="30"/>
        <v>1400</v>
      </c>
      <c r="BQ31" s="83">
        <f t="shared" si="30"/>
        <v>1240</v>
      </c>
      <c r="BR31" s="82">
        <f t="shared" si="30"/>
        <v>1130</v>
      </c>
      <c r="BS31" s="82">
        <f t="shared" si="30"/>
        <v>1050</v>
      </c>
      <c r="BT31" s="82">
        <f t="shared" si="30"/>
        <v>990</v>
      </c>
      <c r="BU31" s="82">
        <f t="shared" si="30"/>
        <v>940</v>
      </c>
      <c r="BV31" s="87" t="s">
        <v>164</v>
      </c>
      <c r="BX31" s="84"/>
      <c r="BY31" s="53"/>
      <c r="BZ31" s="85">
        <v>30</v>
      </c>
      <c r="CA31" s="86" t="s">
        <v>170</v>
      </c>
      <c r="CB31" s="82">
        <f t="shared" si="31"/>
        <v>2810</v>
      </c>
      <c r="CC31" s="82">
        <f t="shared" si="31"/>
        <v>1980</v>
      </c>
      <c r="CD31" s="82">
        <f t="shared" si="31"/>
        <v>1600</v>
      </c>
      <c r="CE31" s="82">
        <f t="shared" si="31"/>
        <v>1380</v>
      </c>
      <c r="CF31" s="83">
        <f t="shared" si="32"/>
        <v>1240</v>
      </c>
      <c r="CG31" s="82">
        <f t="shared" si="31"/>
        <v>1140</v>
      </c>
      <c r="CH31" s="82">
        <f t="shared" si="31"/>
        <v>1070</v>
      </c>
      <c r="CI31" s="82">
        <f t="shared" si="31"/>
        <v>1010</v>
      </c>
      <c r="CJ31" s="82">
        <f t="shared" si="31"/>
        <v>970</v>
      </c>
      <c r="CK31" s="87" t="s">
        <v>164</v>
      </c>
      <c r="CL31" s="193"/>
      <c r="CM31" s="197">
        <v>28</v>
      </c>
      <c r="CN31" s="197">
        <f t="shared" si="0"/>
        <v>-1.5957114892076809</v>
      </c>
      <c r="CO31" s="197">
        <f t="shared" si="1"/>
        <v>15.1090006475286</v>
      </c>
      <c r="CP31" s="197">
        <f t="shared" si="2"/>
        <v>-3.0998064759052726</v>
      </c>
    </row>
    <row r="32" spans="1:94" ht="15.5" x14ac:dyDescent="0.35">
      <c r="A32" s="3" t="s">
        <v>56</v>
      </c>
      <c r="B32" s="6">
        <v>17.53</v>
      </c>
      <c r="C32" s="3" t="s">
        <v>14</v>
      </c>
      <c r="D32" s="12"/>
      <c r="E32" s="12"/>
      <c r="F32" s="12"/>
      <c r="G32" s="12"/>
      <c r="H32" s="179">
        <f>B32*MToFt^2</f>
        <v>188.69136168116802</v>
      </c>
      <c r="I32" s="3" t="s">
        <v>15</v>
      </c>
      <c r="AE32" s="84"/>
      <c r="AF32" s="53"/>
      <c r="AG32" s="85">
        <v>30</v>
      </c>
      <c r="AH32" s="86" t="s">
        <v>39</v>
      </c>
      <c r="AI32" s="82">
        <f t="shared" si="28"/>
        <v>12000</v>
      </c>
      <c r="AJ32" s="82">
        <f t="shared" si="28"/>
        <v>9100</v>
      </c>
      <c r="AK32" s="82">
        <f t="shared" si="28"/>
        <v>7300</v>
      </c>
      <c r="AL32" s="82">
        <f t="shared" si="28"/>
        <v>6200</v>
      </c>
      <c r="AM32" s="83">
        <f t="shared" si="28"/>
        <v>5400</v>
      </c>
      <c r="AN32" s="82">
        <f t="shared" si="28"/>
        <v>4900</v>
      </c>
      <c r="AO32" s="82">
        <f t="shared" si="28"/>
        <v>4400</v>
      </c>
      <c r="AP32" s="82">
        <f t="shared" si="28"/>
        <v>4100</v>
      </c>
      <c r="AQ32" s="82">
        <f t="shared" si="28"/>
        <v>3900</v>
      </c>
      <c r="AR32" s="87" t="s">
        <v>33</v>
      </c>
      <c r="AT32" s="84"/>
      <c r="AU32" s="53"/>
      <c r="AV32" s="85">
        <v>30</v>
      </c>
      <c r="AW32" s="86" t="s">
        <v>39</v>
      </c>
      <c r="AX32" s="82">
        <f t="shared" si="29"/>
        <v>11900</v>
      </c>
      <c r="AY32" s="82">
        <f t="shared" si="29"/>
        <v>8700</v>
      </c>
      <c r="AZ32" s="82">
        <f t="shared" si="29"/>
        <v>7100</v>
      </c>
      <c r="BA32" s="82">
        <f t="shared" si="29"/>
        <v>6100</v>
      </c>
      <c r="BB32" s="83">
        <f t="shared" si="29"/>
        <v>5400</v>
      </c>
      <c r="BC32" s="82">
        <f t="shared" si="29"/>
        <v>4900</v>
      </c>
      <c r="BD32" s="82">
        <f t="shared" si="29"/>
        <v>4500</v>
      </c>
      <c r="BE32" s="82">
        <f t="shared" si="29"/>
        <v>4300</v>
      </c>
      <c r="BF32" s="82">
        <f t="shared" si="29"/>
        <v>4000</v>
      </c>
      <c r="BG32" s="87" t="s">
        <v>33</v>
      </c>
      <c r="BI32" s="84"/>
      <c r="BJ32" s="53"/>
      <c r="BK32" s="85">
        <v>40</v>
      </c>
      <c r="BL32" s="86" t="s">
        <v>170</v>
      </c>
      <c r="BM32" s="82">
        <f t="shared" si="30"/>
        <v>3420</v>
      </c>
      <c r="BN32" s="82">
        <f t="shared" si="30"/>
        <v>2540</v>
      </c>
      <c r="BO32" s="82">
        <f t="shared" si="30"/>
        <v>2000</v>
      </c>
      <c r="BP32" s="82">
        <f t="shared" si="30"/>
        <v>1670</v>
      </c>
      <c r="BQ32" s="83">
        <f t="shared" si="30"/>
        <v>1460</v>
      </c>
      <c r="BR32" s="82">
        <f t="shared" si="30"/>
        <v>1310</v>
      </c>
      <c r="BS32" s="82">
        <f t="shared" si="30"/>
        <v>1200</v>
      </c>
      <c r="BT32" s="82">
        <f t="shared" si="30"/>
        <v>1120</v>
      </c>
      <c r="BU32" s="82">
        <f t="shared" si="30"/>
        <v>1060</v>
      </c>
      <c r="BV32" s="87" t="s">
        <v>164</v>
      </c>
      <c r="BX32" s="84"/>
      <c r="BY32" s="53"/>
      <c r="BZ32" s="85">
        <v>40</v>
      </c>
      <c r="CA32" s="86" t="s">
        <v>170</v>
      </c>
      <c r="CB32" s="82">
        <f t="shared" si="31"/>
        <v>3550</v>
      </c>
      <c r="CC32" s="82">
        <f t="shared" si="31"/>
        <v>2440</v>
      </c>
      <c r="CD32" s="82">
        <f t="shared" si="31"/>
        <v>1940</v>
      </c>
      <c r="CE32" s="82">
        <f t="shared" si="31"/>
        <v>1650</v>
      </c>
      <c r="CF32" s="83">
        <f t="shared" si="32"/>
        <v>1460</v>
      </c>
      <c r="CG32" s="82">
        <f t="shared" si="31"/>
        <v>1330</v>
      </c>
      <c r="CH32" s="82">
        <f t="shared" si="31"/>
        <v>1230</v>
      </c>
      <c r="CI32" s="82">
        <f t="shared" si="31"/>
        <v>1150</v>
      </c>
      <c r="CJ32" s="82">
        <f t="shared" si="31"/>
        <v>1100</v>
      </c>
      <c r="CK32" s="87" t="s">
        <v>164</v>
      </c>
      <c r="CL32" s="193"/>
      <c r="CM32" s="197">
        <v>29</v>
      </c>
      <c r="CN32" s="197">
        <f t="shared" si="0"/>
        <v>-1.5643527683951364</v>
      </c>
      <c r="CO32" s="197">
        <f t="shared" si="1"/>
        <v>15.648607813511763</v>
      </c>
      <c r="CP32" s="197">
        <f t="shared" si="2"/>
        <v>-3.0388894702258207</v>
      </c>
    </row>
    <row r="33" spans="1:94" ht="15.5" x14ac:dyDescent="0.35">
      <c r="AE33" s="84"/>
      <c r="AF33" s="53"/>
      <c r="AG33" s="85">
        <v>40</v>
      </c>
      <c r="AH33" s="86" t="s">
        <v>39</v>
      </c>
      <c r="AI33" s="82">
        <f t="shared" si="28"/>
        <v>15400</v>
      </c>
      <c r="AJ33" s="82">
        <f t="shared" si="28"/>
        <v>11500</v>
      </c>
      <c r="AK33" s="82">
        <f t="shared" si="28"/>
        <v>9200</v>
      </c>
      <c r="AL33" s="82">
        <f t="shared" si="28"/>
        <v>7600</v>
      </c>
      <c r="AM33" s="83">
        <f t="shared" si="28"/>
        <v>6600</v>
      </c>
      <c r="AN33" s="82">
        <f t="shared" si="28"/>
        <v>5800</v>
      </c>
      <c r="AO33" s="82">
        <f t="shared" si="28"/>
        <v>5300</v>
      </c>
      <c r="AP33" s="82">
        <f t="shared" si="28"/>
        <v>4900</v>
      </c>
      <c r="AQ33" s="82">
        <f t="shared" si="28"/>
        <v>4600</v>
      </c>
      <c r="AR33" s="87" t="s">
        <v>33</v>
      </c>
      <c r="AT33" s="84"/>
      <c r="AU33" s="53"/>
      <c r="AV33" s="85">
        <v>40</v>
      </c>
      <c r="AW33" s="86" t="s">
        <v>39</v>
      </c>
      <c r="AX33" s="82">
        <f t="shared" si="29"/>
        <v>15200</v>
      </c>
      <c r="AY33" s="82">
        <f t="shared" si="29"/>
        <v>11000</v>
      </c>
      <c r="AZ33" s="82">
        <f t="shared" si="29"/>
        <v>8800</v>
      </c>
      <c r="BA33" s="82">
        <f t="shared" si="29"/>
        <v>7500</v>
      </c>
      <c r="BB33" s="83">
        <f t="shared" si="29"/>
        <v>6600</v>
      </c>
      <c r="BC33" s="82">
        <f t="shared" si="29"/>
        <v>5900</v>
      </c>
      <c r="BD33" s="82">
        <f t="shared" si="29"/>
        <v>5400</v>
      </c>
      <c r="BE33" s="82">
        <f t="shared" si="29"/>
        <v>5000</v>
      </c>
      <c r="BF33" s="82">
        <f t="shared" si="29"/>
        <v>4700</v>
      </c>
      <c r="BG33" s="87" t="s">
        <v>33</v>
      </c>
      <c r="BI33" s="84"/>
      <c r="BJ33" s="53"/>
      <c r="BK33" s="85">
        <v>50</v>
      </c>
      <c r="BL33" s="86" t="s">
        <v>170</v>
      </c>
      <c r="BM33" s="82">
        <f t="shared" si="30"/>
        <v>4130</v>
      </c>
      <c r="BN33" s="82">
        <f t="shared" si="30"/>
        <v>3030</v>
      </c>
      <c r="BO33" s="82">
        <f t="shared" si="30"/>
        <v>2360</v>
      </c>
      <c r="BP33" s="82">
        <f t="shared" si="30"/>
        <v>1950</v>
      </c>
      <c r="BQ33" s="83">
        <f t="shared" si="30"/>
        <v>1680</v>
      </c>
      <c r="BR33" s="82">
        <f t="shared" si="30"/>
        <v>1490</v>
      </c>
      <c r="BS33" s="82">
        <f t="shared" si="30"/>
        <v>1360</v>
      </c>
      <c r="BT33" s="82">
        <f t="shared" si="30"/>
        <v>1260</v>
      </c>
      <c r="BU33" s="82">
        <f t="shared" si="30"/>
        <v>1180</v>
      </c>
      <c r="BV33" s="87" t="s">
        <v>164</v>
      </c>
      <c r="BX33" s="84"/>
      <c r="BY33" s="53"/>
      <c r="BZ33" s="85">
        <v>50</v>
      </c>
      <c r="CA33" s="86" t="s">
        <v>170</v>
      </c>
      <c r="CB33" s="82">
        <f t="shared" si="31"/>
        <v>4290</v>
      </c>
      <c r="CC33" s="82">
        <f t="shared" si="31"/>
        <v>2910</v>
      </c>
      <c r="CD33" s="82">
        <f t="shared" si="31"/>
        <v>2270</v>
      </c>
      <c r="CE33" s="82">
        <f t="shared" si="31"/>
        <v>1910</v>
      </c>
      <c r="CF33" s="83">
        <f t="shared" si="32"/>
        <v>1680</v>
      </c>
      <c r="CG33" s="82">
        <f t="shared" si="31"/>
        <v>1510</v>
      </c>
      <c r="CH33" s="82">
        <f t="shared" si="31"/>
        <v>1390</v>
      </c>
      <c r="CI33" s="82">
        <f t="shared" si="31"/>
        <v>1300</v>
      </c>
      <c r="CJ33" s="82">
        <f t="shared" si="31"/>
        <v>1220</v>
      </c>
      <c r="CK33" s="87" t="s">
        <v>164</v>
      </c>
      <c r="CL33" s="193"/>
      <c r="CM33" s="197">
        <v>30</v>
      </c>
      <c r="CN33" s="197">
        <f t="shared" si="0"/>
        <v>-1.5334860558958936</v>
      </c>
      <c r="CO33" s="197">
        <f t="shared" si="1"/>
        <v>16.188214979494926</v>
      </c>
      <c r="CP33" s="197">
        <f t="shared" si="2"/>
        <v>-2.9789282329080602</v>
      </c>
    </row>
    <row r="34" spans="1:94" ht="15.5" x14ac:dyDescent="0.35">
      <c r="A34" s="28" t="s">
        <v>11</v>
      </c>
      <c r="B34" s="22"/>
      <c r="C34" s="22"/>
      <c r="D34" s="22"/>
      <c r="E34" s="22"/>
      <c r="F34" s="22"/>
      <c r="G34" s="22"/>
      <c r="H34" s="22"/>
      <c r="I34" s="23"/>
      <c r="AE34" s="84"/>
      <c r="AF34" s="53"/>
      <c r="AG34" s="85">
        <v>50</v>
      </c>
      <c r="AH34" s="86" t="s">
        <v>39</v>
      </c>
      <c r="AI34" s="82">
        <f t="shared" si="28"/>
        <v>18700</v>
      </c>
      <c r="AJ34" s="82">
        <f t="shared" si="28"/>
        <v>14000</v>
      </c>
      <c r="AK34" s="82">
        <f t="shared" si="28"/>
        <v>11000</v>
      </c>
      <c r="AL34" s="82">
        <f t="shared" si="28"/>
        <v>9000</v>
      </c>
      <c r="AM34" s="83">
        <f t="shared" si="28"/>
        <v>7700</v>
      </c>
      <c r="AN34" s="82">
        <f t="shared" si="28"/>
        <v>6800</v>
      </c>
      <c r="AO34" s="82">
        <f t="shared" si="28"/>
        <v>6100</v>
      </c>
      <c r="AP34" s="82">
        <f t="shared" si="28"/>
        <v>5600</v>
      </c>
      <c r="AQ34" s="82">
        <f t="shared" si="28"/>
        <v>5200</v>
      </c>
      <c r="AR34" s="87" t="s">
        <v>33</v>
      </c>
      <c r="AT34" s="84"/>
      <c r="AU34" s="53"/>
      <c r="AV34" s="85">
        <v>50</v>
      </c>
      <c r="AW34" s="86" t="s">
        <v>39</v>
      </c>
      <c r="AX34" s="82">
        <f t="shared" si="29"/>
        <v>18600</v>
      </c>
      <c r="AY34" s="82">
        <f t="shared" si="29"/>
        <v>13300</v>
      </c>
      <c r="AZ34" s="82">
        <f t="shared" si="29"/>
        <v>10500</v>
      </c>
      <c r="BA34" s="82">
        <f t="shared" si="29"/>
        <v>8900</v>
      </c>
      <c r="BB34" s="83">
        <f t="shared" si="29"/>
        <v>7700</v>
      </c>
      <c r="BC34" s="82">
        <f t="shared" si="29"/>
        <v>6900</v>
      </c>
      <c r="BD34" s="82">
        <f t="shared" si="29"/>
        <v>6300</v>
      </c>
      <c r="BE34" s="82">
        <f t="shared" si="29"/>
        <v>5800</v>
      </c>
      <c r="BF34" s="82">
        <f t="shared" si="29"/>
        <v>5400</v>
      </c>
      <c r="BG34" s="87" t="s">
        <v>33</v>
      </c>
      <c r="BI34" s="84"/>
      <c r="BJ34" s="53"/>
      <c r="BK34" s="85">
        <v>100</v>
      </c>
      <c r="BL34" s="86" t="s">
        <v>170</v>
      </c>
      <c r="BM34" s="82">
        <f t="shared" si="30"/>
        <v>7680</v>
      </c>
      <c r="BN34" s="82">
        <f t="shared" si="30"/>
        <v>5480</v>
      </c>
      <c r="BO34" s="82">
        <f t="shared" si="30"/>
        <v>4140</v>
      </c>
      <c r="BP34" s="82">
        <f t="shared" si="30"/>
        <v>3310</v>
      </c>
      <c r="BQ34" s="83">
        <f t="shared" si="30"/>
        <v>2780</v>
      </c>
      <c r="BR34" s="82">
        <f t="shared" si="30"/>
        <v>2410</v>
      </c>
      <c r="BS34" s="82">
        <f t="shared" si="30"/>
        <v>2140</v>
      </c>
      <c r="BT34" s="82">
        <f t="shared" si="30"/>
        <v>1940</v>
      </c>
      <c r="BU34" s="82">
        <f t="shared" si="30"/>
        <v>1790</v>
      </c>
      <c r="BV34" s="87" t="s">
        <v>164</v>
      </c>
      <c r="BX34" s="84"/>
      <c r="BY34" s="53"/>
      <c r="BZ34" s="85">
        <v>100</v>
      </c>
      <c r="CA34" s="86" t="s">
        <v>170</v>
      </c>
      <c r="CB34" s="82">
        <f t="shared" si="31"/>
        <v>8010</v>
      </c>
      <c r="CC34" s="82">
        <f t="shared" si="31"/>
        <v>5230</v>
      </c>
      <c r="CD34" s="82">
        <f t="shared" si="31"/>
        <v>3970</v>
      </c>
      <c r="CE34" s="82">
        <f t="shared" si="31"/>
        <v>3240</v>
      </c>
      <c r="CF34" s="83">
        <f t="shared" si="32"/>
        <v>2780</v>
      </c>
      <c r="CG34" s="82">
        <f t="shared" si="31"/>
        <v>2450</v>
      </c>
      <c r="CH34" s="82">
        <f t="shared" si="31"/>
        <v>2200</v>
      </c>
      <c r="CI34" s="82">
        <f t="shared" si="31"/>
        <v>2020</v>
      </c>
      <c r="CJ34" s="82">
        <f t="shared" si="31"/>
        <v>1870</v>
      </c>
      <c r="CK34" s="87" t="s">
        <v>164</v>
      </c>
      <c r="CL34" s="193"/>
      <c r="CM34" s="197">
        <v>31</v>
      </c>
      <c r="CN34" s="197">
        <f t="shared" si="0"/>
        <v>-1.5031113517099526</v>
      </c>
      <c r="CO34" s="197">
        <f t="shared" si="1"/>
        <v>16.727822145478093</v>
      </c>
      <c r="CP34" s="197">
        <f t="shared" si="2"/>
        <v>-2.9199227639519907</v>
      </c>
    </row>
    <row r="35" spans="1:94" ht="15.5" x14ac:dyDescent="0.35">
      <c r="A35" s="3" t="s">
        <v>55</v>
      </c>
      <c r="B35" s="135">
        <f>AllUpWeightWetKg/WingArea</f>
        <v>33.029092983456927</v>
      </c>
      <c r="C35" s="115" t="s">
        <v>60</v>
      </c>
      <c r="E35" s="16"/>
      <c r="F35" s="16"/>
      <c r="G35" s="16"/>
      <c r="H35" s="142">
        <f>WingLoadingKg*KgToLb/MToFt^2</f>
        <v>6.7660490052386857</v>
      </c>
      <c r="I35" s="32" t="s">
        <v>61</v>
      </c>
      <c r="AE35" s="88"/>
      <c r="AF35" s="89"/>
      <c r="AG35" s="61"/>
      <c r="AH35" s="90" t="s">
        <v>40</v>
      </c>
      <c r="AI35" s="91">
        <f>KphToKts*(aRprime*AI15*KtsToKph-SQRT(aRprime*(aRprime*(AI15*KtsToKph)^2-$AE29*KtsToKph+bRprime*AI15*KtsToKph+cRprime)))/aRprime</f>
        <v>77.309849187378603</v>
      </c>
      <c r="AJ35" s="91">
        <f>KphToKts*(aRprime*AJ15*KtsToKph-SQRT(aRprime*(aRprime*(AJ15*KtsToKph)^2-$AE29*KtsToKph+bRprime*AJ15*KtsToKph+cRprime)))/aRprime</f>
        <v>71.078591863724526</v>
      </c>
      <c r="AK35" s="91">
        <f>KphToKts*(aRprime*AK15*KtsToKph-SQRT(aRprime*(aRprime*(AK15*KtsToKph)^2-$AE29*KtsToKph+bRprime*AK15*KtsToKph+cRprime)))/aRprime</f>
        <v>66.721264672822954</v>
      </c>
      <c r="AL35" s="91">
        <f>KphToKts*(aRprime*AL15*KtsToKph-SQRT(aRprime*(aRprime*(AL15*KtsToKph)^2-$AE29*KtsToKph+bRprime*AL15*KtsToKph+cRprime)))/aRprime</f>
        <v>63.649813007591121</v>
      </c>
      <c r="AM35" s="178">
        <f>KphToKts*(aRprime*AM28*KtsToKph-SQRT(aRprime*(aRprime*(AM28*KtsToKph)^2-$AE29*KtsToKph+bRprime*AM28*KtsToKph+cRprime)))/aRprime</f>
        <v>61.430678808483087</v>
      </c>
      <c r="AN35" s="91">
        <f>KphToKts*(aRprime*AN15*KtsToKph-SQRT(aRprime*(aRprime*(AN15*KtsToKph)^2-$AE29*KtsToKph+bRprime*AN15*KtsToKph+cRprime)))/aRprime</f>
        <v>59.779324745891131</v>
      </c>
      <c r="AO35" s="91">
        <f>KphToKts*(aRprime*AO15*KtsToKph-SQRT(aRprime*(aRprime*(AO15*KtsToKph)^2-$AE29*KtsToKph+bRprime*AO15*KtsToKph+cRprime)))/aRprime</f>
        <v>58.514839521672918</v>
      </c>
      <c r="AP35" s="91">
        <f>KphToKts*(aRprime*AP15*KtsToKph-SQRT(aRprime*(aRprime*(AP15*KtsToKph)^2-$AE29*KtsToKph+bRprime*AP15*KtsToKph+cRprime)))/aRprime</f>
        <v>57.521459586981138</v>
      </c>
      <c r="AQ35" s="91">
        <f>KphToKts*(aRprime*AQ15*KtsToKph-SQRT(aRprime*(aRprime*(AQ15*KtsToKph)^2-$AE29*KtsToKph+bRprime*AQ15*KtsToKph+cRprime)))/aRprime</f>
        <v>56.723480868696463</v>
      </c>
      <c r="AR35" s="72" t="s">
        <v>8</v>
      </c>
      <c r="AT35" s="88"/>
      <c r="AU35" s="89"/>
      <c r="AV35" s="61"/>
      <c r="AW35" s="90" t="s">
        <v>40</v>
      </c>
      <c r="AX35" s="177">
        <f t="shared" ref="AX35:BF35" si="33">KphToKts*(-1*SQRT(aRprime*(-$AT29*KtsToKph+cRprime)))/aRprime</f>
        <v>61.430678808483087</v>
      </c>
      <c r="AY35" s="177">
        <f t="shared" si="33"/>
        <v>61.430678808483087</v>
      </c>
      <c r="AZ35" s="177">
        <f t="shared" si="33"/>
        <v>61.430678808483087</v>
      </c>
      <c r="BA35" s="177">
        <f t="shared" si="33"/>
        <v>61.430678808483087</v>
      </c>
      <c r="BB35" s="178">
        <f t="shared" si="33"/>
        <v>61.430678808483087</v>
      </c>
      <c r="BC35" s="177">
        <f t="shared" si="33"/>
        <v>61.430678808483087</v>
      </c>
      <c r="BD35" s="177">
        <f t="shared" si="33"/>
        <v>61.430678808483087</v>
      </c>
      <c r="BE35" s="177">
        <f t="shared" si="33"/>
        <v>61.430678808483087</v>
      </c>
      <c r="BF35" s="177">
        <f t="shared" si="33"/>
        <v>61.430678808483087</v>
      </c>
      <c r="BG35" s="72" t="s">
        <v>8</v>
      </c>
      <c r="BI35" s="88"/>
      <c r="BJ35" s="89"/>
      <c r="BK35" s="61"/>
      <c r="BL35" s="90" t="s">
        <v>40</v>
      </c>
      <c r="BM35" s="177">
        <f t="shared" ref="BM35:BU35" si="34">(aRprime*BM28-SQRT(aRprime*(aRprime*BM28^2-$BI29*MpsToKph+bRprime*BM28+cRprime)))/aRprime</f>
        <v>147.39768364165019</v>
      </c>
      <c r="BN35" s="177">
        <f t="shared" si="34"/>
        <v>133.70138519277342</v>
      </c>
      <c r="BO35" s="177">
        <f t="shared" si="34"/>
        <v>124.38803587243372</v>
      </c>
      <c r="BP35" s="177">
        <f t="shared" si="34"/>
        <v>118.03462152464689</v>
      </c>
      <c r="BQ35" s="178">
        <f t="shared" si="34"/>
        <v>113.57919455848575</v>
      </c>
      <c r="BR35" s="177">
        <f t="shared" si="34"/>
        <v>110.34446614884713</v>
      </c>
      <c r="BS35" s="177">
        <f t="shared" si="34"/>
        <v>107.91594327421763</v>
      </c>
      <c r="BT35" s="177">
        <f t="shared" si="34"/>
        <v>106.03786524095992</v>
      </c>
      <c r="BU35" s="177">
        <f t="shared" si="34"/>
        <v>104.54814849477293</v>
      </c>
      <c r="BV35" s="72" t="s">
        <v>1</v>
      </c>
      <c r="BX35" s="88"/>
      <c r="BY35" s="89"/>
      <c r="BZ35" s="61"/>
      <c r="CA35" s="90" t="s">
        <v>40</v>
      </c>
      <c r="CB35" s="177">
        <f t="shared" ref="CB35:CJ35" si="35">(-1*SQRT(aRprime*(-$BX29*MpsToKph+cRprime)))/aRprime</f>
        <v>113.57919455848575</v>
      </c>
      <c r="CC35" s="177">
        <f t="shared" si="35"/>
        <v>113.57919455848575</v>
      </c>
      <c r="CD35" s="177">
        <f t="shared" si="35"/>
        <v>113.57919455848575</v>
      </c>
      <c r="CE35" s="177">
        <f t="shared" si="35"/>
        <v>113.57919455848575</v>
      </c>
      <c r="CF35" s="178">
        <f t="shared" si="35"/>
        <v>113.57919455848575</v>
      </c>
      <c r="CG35" s="177">
        <f t="shared" si="35"/>
        <v>113.57919455848575</v>
      </c>
      <c r="CH35" s="177">
        <f t="shared" si="35"/>
        <v>113.57919455848575</v>
      </c>
      <c r="CI35" s="177">
        <f t="shared" si="35"/>
        <v>113.57919455848575</v>
      </c>
      <c r="CJ35" s="177">
        <f t="shared" si="35"/>
        <v>113.57919455848575</v>
      </c>
      <c r="CK35" s="72" t="s">
        <v>1</v>
      </c>
      <c r="CL35" s="193"/>
      <c r="CM35" s="197">
        <v>32</v>
      </c>
      <c r="CN35" s="197">
        <f t="shared" si="0"/>
        <v>-1.4732286558373133</v>
      </c>
      <c r="CO35" s="197">
        <f t="shared" si="1"/>
        <v>17.267429311461257</v>
      </c>
      <c r="CP35" s="197">
        <f t="shared" si="2"/>
        <v>-2.861873063357613</v>
      </c>
    </row>
    <row r="36" spans="1:94" ht="15.5" x14ac:dyDescent="0.35">
      <c r="A36" s="33" t="s">
        <v>57</v>
      </c>
      <c r="B36" s="31">
        <f>WeightGlider+Ballast</f>
        <v>579</v>
      </c>
      <c r="C36" s="3" t="s">
        <v>7</v>
      </c>
      <c r="D36" s="16"/>
      <c r="E36" s="16"/>
      <c r="F36" s="16"/>
      <c r="G36" s="16"/>
      <c r="H36" s="141">
        <f>AllUpWeightWetKg*KgToLb</f>
        <v>1276.6949999999999</v>
      </c>
      <c r="I36" s="14" t="s">
        <v>9</v>
      </c>
      <c r="AE36" s="84"/>
      <c r="AF36" s="62"/>
      <c r="AG36" s="63"/>
      <c r="AH36" s="92" t="s">
        <v>41</v>
      </c>
      <c r="AI36" s="190">
        <f t="shared" ref="AI36:AQ36" si="36">KphToKts*($AE29*KtsToKph-AI28*KtsToKph*(2*aRprime*AI35*KtsToKph+bRprime))</f>
        <v>4.6157499520639425</v>
      </c>
      <c r="AJ36" s="190">
        <f t="shared" si="36"/>
        <v>3.0981999980287669</v>
      </c>
      <c r="AK36" s="190">
        <f t="shared" si="36"/>
        <v>2.1127464096065771</v>
      </c>
      <c r="AL36" s="190">
        <f t="shared" si="36"/>
        <v>1.4555545453326799</v>
      </c>
      <c r="AM36" s="190">
        <f t="shared" si="36"/>
        <v>1</v>
      </c>
      <c r="AN36" s="190">
        <f t="shared" si="36"/>
        <v>0.67149203738209862</v>
      </c>
      <c r="AO36" s="190">
        <f t="shared" si="36"/>
        <v>0.425996095867547</v>
      </c>
      <c r="AP36" s="190">
        <f t="shared" si="36"/>
        <v>0.23681554320113896</v>
      </c>
      <c r="AQ36" s="190">
        <f t="shared" si="36"/>
        <v>8.7193520238540018E-2</v>
      </c>
      <c r="AR36" s="93" t="s">
        <v>8</v>
      </c>
      <c r="AT36" s="84"/>
      <c r="AU36" s="62"/>
      <c r="AV36" s="63"/>
      <c r="AW36" s="92" t="s">
        <v>41</v>
      </c>
      <c r="AX36" s="207">
        <f t="shared" ref="AX36:BF36" si="37">$AT29</f>
        <v>1</v>
      </c>
      <c r="AY36" s="207">
        <f t="shared" si="37"/>
        <v>1</v>
      </c>
      <c r="AZ36" s="207">
        <f t="shared" si="37"/>
        <v>1</v>
      </c>
      <c r="BA36" s="207">
        <f t="shared" si="37"/>
        <v>1</v>
      </c>
      <c r="BB36" s="207">
        <f t="shared" si="37"/>
        <v>1</v>
      </c>
      <c r="BC36" s="207">
        <f t="shared" si="37"/>
        <v>1</v>
      </c>
      <c r="BD36" s="207">
        <f t="shared" si="37"/>
        <v>1</v>
      </c>
      <c r="BE36" s="207">
        <f t="shared" si="37"/>
        <v>1</v>
      </c>
      <c r="BF36" s="207">
        <f t="shared" si="37"/>
        <v>1</v>
      </c>
      <c r="BG36" s="93" t="s">
        <v>8</v>
      </c>
      <c r="BI36" s="84"/>
      <c r="BJ36" s="62"/>
      <c r="BK36" s="63"/>
      <c r="BL36" s="92" t="s">
        <v>41</v>
      </c>
      <c r="BM36" s="190">
        <f t="shared" ref="BM36:BU36" si="38">KphToMps*($BI29*MpsToKph-BM28*(2*aRprime*BM35+bRprime))</f>
        <v>2.6711942377182352</v>
      </c>
      <c r="BN36" s="190">
        <f t="shared" si="38"/>
        <v>1.7240741163900588</v>
      </c>
      <c r="BO36" s="190">
        <f t="shared" si="38"/>
        <v>1.1327595993150639</v>
      </c>
      <c r="BP36" s="190">
        <f t="shared" si="38"/>
        <v>0.75386114611828736</v>
      </c>
      <c r="BQ36" s="190">
        <f t="shared" si="38"/>
        <v>0.5</v>
      </c>
      <c r="BR36" s="190">
        <f t="shared" si="38"/>
        <v>0.32181126139123706</v>
      </c>
      <c r="BS36" s="190">
        <f t="shared" si="38"/>
        <v>0.19141666051692882</v>
      </c>
      <c r="BT36" s="190">
        <f t="shared" si="38"/>
        <v>9.2566791098933565E-2</v>
      </c>
      <c r="BU36" s="190">
        <f t="shared" si="38"/>
        <v>1.53919633523602E-2</v>
      </c>
      <c r="BV36" s="93" t="s">
        <v>0</v>
      </c>
      <c r="BX36" s="84"/>
      <c r="BY36" s="62"/>
      <c r="BZ36" s="63"/>
      <c r="CA36" s="92" t="s">
        <v>41</v>
      </c>
      <c r="CB36" s="207">
        <f t="shared" ref="CB36:CE36" si="39">$BX29</f>
        <v>0.5</v>
      </c>
      <c r="CC36" s="207">
        <f t="shared" si="39"/>
        <v>0.5</v>
      </c>
      <c r="CD36" s="207">
        <f t="shared" si="39"/>
        <v>0.5</v>
      </c>
      <c r="CE36" s="207">
        <f t="shared" si="39"/>
        <v>0.5</v>
      </c>
      <c r="CF36" s="207">
        <f>$BX29</f>
        <v>0.5</v>
      </c>
      <c r="CG36" s="207">
        <f t="shared" ref="CG36:CJ36" si="40">$BX29</f>
        <v>0.5</v>
      </c>
      <c r="CH36" s="207">
        <f t="shared" si="40"/>
        <v>0.5</v>
      </c>
      <c r="CI36" s="207">
        <f t="shared" si="40"/>
        <v>0.5</v>
      </c>
      <c r="CJ36" s="207">
        <f t="shared" si="40"/>
        <v>0.5</v>
      </c>
      <c r="CK36" s="93" t="s">
        <v>0</v>
      </c>
      <c r="CL36" s="193"/>
      <c r="CM36" s="197">
        <v>33</v>
      </c>
      <c r="CN36" s="197">
        <f t="shared" si="0"/>
        <v>-1.4438379682779761</v>
      </c>
      <c r="CO36" s="197">
        <f t="shared" si="1"/>
        <v>17.80703647744442</v>
      </c>
      <c r="CP36" s="197">
        <f t="shared" si="2"/>
        <v>-2.8047791311249268</v>
      </c>
    </row>
    <row r="37" spans="1:94" ht="15.5" x14ac:dyDescent="0.35">
      <c r="A37" s="21" t="s">
        <v>12</v>
      </c>
      <c r="B37" s="22"/>
      <c r="C37" s="22"/>
      <c r="D37" s="22"/>
      <c r="E37" s="22"/>
      <c r="F37" s="22"/>
      <c r="G37" s="22"/>
      <c r="H37" s="22"/>
      <c r="I37" s="23"/>
      <c r="AE37" s="94"/>
      <c r="AF37" s="89"/>
      <c r="AG37" s="61"/>
      <c r="AH37" s="71" t="s">
        <v>49</v>
      </c>
      <c r="AI37" s="95">
        <f t="shared" ref="AI37:AL37" si="41">AI35-AI28</f>
        <v>37.309849187378603</v>
      </c>
      <c r="AJ37" s="95">
        <f t="shared" si="41"/>
        <v>41.078591863724526</v>
      </c>
      <c r="AK37" s="95">
        <f t="shared" si="41"/>
        <v>46.721264672822954</v>
      </c>
      <c r="AL37" s="95">
        <f t="shared" si="41"/>
        <v>53.649813007591121</v>
      </c>
      <c r="AM37" s="95">
        <f>AM35-AM28</f>
        <v>61.430678808483087</v>
      </c>
      <c r="AN37" s="95">
        <f t="shared" ref="AN37:AQ37" si="42">AN35-AN28</f>
        <v>69.779324745891131</v>
      </c>
      <c r="AO37" s="95">
        <f t="shared" si="42"/>
        <v>78.514839521672911</v>
      </c>
      <c r="AP37" s="95">
        <f t="shared" si="42"/>
        <v>87.521459586981138</v>
      </c>
      <c r="AQ37" s="95">
        <f t="shared" si="42"/>
        <v>96.72348086869647</v>
      </c>
      <c r="AR37" s="96" t="s">
        <v>8</v>
      </c>
      <c r="AT37" s="94"/>
      <c r="AU37" s="89"/>
      <c r="AV37" s="61"/>
      <c r="AW37" s="71" t="s">
        <v>49</v>
      </c>
      <c r="AX37" s="95">
        <f t="shared" ref="AX37:BA37" si="43">AX35-AX28</f>
        <v>21.430678808483087</v>
      </c>
      <c r="AY37" s="95">
        <f t="shared" si="43"/>
        <v>31.430678808483087</v>
      </c>
      <c r="AZ37" s="95">
        <f t="shared" si="43"/>
        <v>41.430678808483087</v>
      </c>
      <c r="BA37" s="95">
        <f t="shared" si="43"/>
        <v>51.430678808483087</v>
      </c>
      <c r="BB37" s="95">
        <f>BB35-BB28</f>
        <v>61.430678808483087</v>
      </c>
      <c r="BC37" s="95">
        <f t="shared" ref="BC37:BF37" si="44">BC35-BC28</f>
        <v>71.430678808483094</v>
      </c>
      <c r="BD37" s="95">
        <f t="shared" si="44"/>
        <v>81.430678808483094</v>
      </c>
      <c r="BE37" s="95">
        <f t="shared" si="44"/>
        <v>91.430678808483094</v>
      </c>
      <c r="BF37" s="95">
        <f t="shared" si="44"/>
        <v>101.43067880848309</v>
      </c>
      <c r="BG37" s="96" t="s">
        <v>8</v>
      </c>
      <c r="BI37" s="94"/>
      <c r="BJ37" s="89"/>
      <c r="BK37" s="61"/>
      <c r="BL37" s="71" t="s">
        <v>49</v>
      </c>
      <c r="BM37" s="95">
        <f t="shared" ref="BM37:BP37" si="45">BM35-BM28</f>
        <v>67.39768364165019</v>
      </c>
      <c r="BN37" s="95">
        <f t="shared" si="45"/>
        <v>73.701385192773415</v>
      </c>
      <c r="BO37" s="95">
        <f t="shared" si="45"/>
        <v>84.388035872433719</v>
      </c>
      <c r="BP37" s="95">
        <f t="shared" si="45"/>
        <v>98.034621524646894</v>
      </c>
      <c r="BQ37" s="95">
        <f>BQ35-BQ28</f>
        <v>113.57919455848575</v>
      </c>
      <c r="BR37" s="95">
        <f t="shared" ref="BR37:BU37" si="46">BR35-BR28</f>
        <v>130.34446614884712</v>
      </c>
      <c r="BS37" s="95">
        <f t="shared" si="46"/>
        <v>147.91594327421763</v>
      </c>
      <c r="BT37" s="95">
        <f t="shared" si="46"/>
        <v>166.03786524095992</v>
      </c>
      <c r="BU37" s="95">
        <f t="shared" si="46"/>
        <v>184.54814849477293</v>
      </c>
      <c r="BV37" s="96" t="s">
        <v>1</v>
      </c>
      <c r="BX37" s="94"/>
      <c r="BY37" s="89"/>
      <c r="BZ37" s="61"/>
      <c r="CA37" s="71" t="s">
        <v>49</v>
      </c>
      <c r="CB37" s="95">
        <f t="shared" ref="CB37:CE37" si="47">CB35-CB28</f>
        <v>33.579194558485753</v>
      </c>
      <c r="CC37" s="95">
        <f t="shared" si="47"/>
        <v>53.579194558485753</v>
      </c>
      <c r="CD37" s="95">
        <f t="shared" si="47"/>
        <v>73.579194558485753</v>
      </c>
      <c r="CE37" s="95">
        <f t="shared" si="47"/>
        <v>93.579194558485753</v>
      </c>
      <c r="CF37" s="95">
        <f>CF35-CF28</f>
        <v>113.57919455848575</v>
      </c>
      <c r="CG37" s="95">
        <f t="shared" ref="CG37:CJ37" si="48">CG35-CG28</f>
        <v>133.57919455848577</v>
      </c>
      <c r="CH37" s="95">
        <f t="shared" si="48"/>
        <v>153.57919455848577</v>
      </c>
      <c r="CI37" s="95">
        <f t="shared" si="48"/>
        <v>173.57919455848577</v>
      </c>
      <c r="CJ37" s="95">
        <f t="shared" si="48"/>
        <v>193.57919455848577</v>
      </c>
      <c r="CK37" s="96" t="s">
        <v>1</v>
      </c>
      <c r="CL37" s="194"/>
      <c r="CM37" s="197">
        <v>34</v>
      </c>
      <c r="CN37" s="197">
        <f t="shared" si="0"/>
        <v>-1.4149392890319406</v>
      </c>
      <c r="CO37" s="197">
        <f t="shared" si="1"/>
        <v>18.346643643427583</v>
      </c>
      <c r="CP37" s="197">
        <f t="shared" si="2"/>
        <v>-2.7486409672539316</v>
      </c>
    </row>
    <row r="38" spans="1:94" ht="15.5" x14ac:dyDescent="0.35">
      <c r="A38" s="24" t="s">
        <v>77</v>
      </c>
      <c r="B38" s="15">
        <f>-V1CPrime/E85</f>
        <v>47.000000000000014</v>
      </c>
      <c r="I38" s="13"/>
      <c r="AE38" s="84"/>
      <c r="AF38" s="89"/>
      <c r="AG38" s="61"/>
      <c r="AH38" s="71" t="s">
        <v>42</v>
      </c>
      <c r="AI38" s="95">
        <f t="shared" ref="AI38" si="49">-AI37/AI39</f>
        <v>15.725452560741203</v>
      </c>
      <c r="AJ38" s="95">
        <f t="shared" ref="AJ38" si="50">-AJ37/AJ39</f>
        <v>21.931546560229915</v>
      </c>
      <c r="AK38" s="95">
        <f t="shared" ref="AK38" si="51">-AK37/AK39</f>
        <v>29.210905137354629</v>
      </c>
      <c r="AL38" s="95">
        <f t="shared" ref="AL38" si="52">-AL37/AL39</f>
        <v>37.152539351429148</v>
      </c>
      <c r="AM38" s="95">
        <f>-AM37/AM39</f>
        <v>45.469506925996804</v>
      </c>
      <c r="AN38" s="95">
        <f t="shared" ref="AN38" si="53">-AN37/AN39</f>
        <v>53.995960863564704</v>
      </c>
      <c r="AO38" s="95">
        <f t="shared" ref="AO38" si="54">-AO37/AO39</f>
        <v>62.641925532241551</v>
      </c>
      <c r="AP38" s="95">
        <f t="shared" ref="AP38" si="55">-AP37/AP39</f>
        <v>71.358677325361796</v>
      </c>
      <c r="AQ38" s="95">
        <f t="shared" ref="AQ38" si="56">-AQ37/AQ39</f>
        <v>80.119147848878058</v>
      </c>
      <c r="AR38" s="96"/>
      <c r="AT38" s="84"/>
      <c r="AU38" s="89"/>
      <c r="AV38" s="61"/>
      <c r="AW38" s="71" t="s">
        <v>42</v>
      </c>
      <c r="AX38" s="95">
        <f t="shared" ref="AX38:BA38" si="57">-AX37/AX39</f>
        <v>15.862471608836788</v>
      </c>
      <c r="AY38" s="95">
        <f t="shared" si="57"/>
        <v>23.264230438126791</v>
      </c>
      <c r="AZ38" s="95">
        <f t="shared" si="57"/>
        <v>30.665989267416794</v>
      </c>
      <c r="BA38" s="95">
        <f t="shared" si="57"/>
        <v>38.067748096706801</v>
      </c>
      <c r="BB38" s="95">
        <f>-BB37/BB39</f>
        <v>45.469506925996804</v>
      </c>
      <c r="BC38" s="95">
        <f t="shared" ref="BC38:BF38" si="58">-BC37/BC39</f>
        <v>52.871265755286814</v>
      </c>
      <c r="BD38" s="95">
        <f t="shared" si="58"/>
        <v>60.273024584576817</v>
      </c>
      <c r="BE38" s="95">
        <f t="shared" si="58"/>
        <v>67.67478341386682</v>
      </c>
      <c r="BF38" s="95">
        <f t="shared" si="58"/>
        <v>75.076542243156823</v>
      </c>
      <c r="BG38" s="96"/>
      <c r="BI38" s="84"/>
      <c r="BJ38" s="89"/>
      <c r="BK38" s="61"/>
      <c r="BL38" s="71" t="s">
        <v>42</v>
      </c>
      <c r="BM38" s="95">
        <f>-BM37/BM39/MpsToKph</f>
        <v>14.085183252106997</v>
      </c>
      <c r="BN38" s="95">
        <f>-BN37/BN39/MpsToKph</f>
        <v>20.399184228963769</v>
      </c>
      <c r="BO38" s="95">
        <f>-BO37/BO39/MpsToKph</f>
        <v>28.07543503785579</v>
      </c>
      <c r="BP38" s="95">
        <f>-BP37/BP39/MpsToKph</f>
        <v>36.584278270251154</v>
      </c>
      <c r="BQ38" s="95">
        <f>-BQ37/BQ39/MpsToKph</f>
        <v>45.546782255444498</v>
      </c>
      <c r="BR38" s="95">
        <f>-BR37/BR39/MpsToKph</f>
        <v>54.751286990466461</v>
      </c>
      <c r="BS38" s="95">
        <f>-BS37/BS39/MpsToKph</f>
        <v>64.088485359281421</v>
      </c>
      <c r="BT38" s="95">
        <f>-BT37/BT39/MpsToKph</f>
        <v>73.501892378494261</v>
      </c>
      <c r="BU38" s="95">
        <f>-BU37/BU39/MpsToKph</f>
        <v>82.961324743707252</v>
      </c>
      <c r="BV38" s="96"/>
      <c r="BX38" s="84"/>
      <c r="BY38" s="89"/>
      <c r="BZ38" s="61"/>
      <c r="CA38" s="71" t="s">
        <v>42</v>
      </c>
      <c r="CB38" s="95">
        <f>-CB37/CB39/MpsToKph</f>
        <v>13.465707947779162</v>
      </c>
      <c r="CC38" s="95">
        <f>-CC37/CC39/MpsToKph</f>
        <v>21.485976524695499</v>
      </c>
      <c r="CD38" s="95">
        <f>-CD37/CD39/MpsToKph</f>
        <v>29.506245101611832</v>
      </c>
      <c r="CE38" s="95">
        <f>-CE37/CE39/MpsToKph</f>
        <v>37.526513678528161</v>
      </c>
      <c r="CF38" s="95">
        <f>-CF37/CF39/MpsToKph</f>
        <v>45.546782255444498</v>
      </c>
      <c r="CG38" s="95">
        <f>-CG37/CG39/MpsToKph</f>
        <v>53.567050832360835</v>
      </c>
      <c r="CH38" s="95">
        <f>-CH37/CH39/MpsToKph</f>
        <v>61.587319409277171</v>
      </c>
      <c r="CI38" s="95">
        <f>-CI37/CI39/MpsToKph</f>
        <v>69.607587986193508</v>
      </c>
      <c r="CJ38" s="95">
        <f>-CJ37/CJ39/MpsToKph</f>
        <v>77.627856563109845</v>
      </c>
      <c r="CK38" s="96"/>
      <c r="CL38" s="194"/>
      <c r="CM38" s="197">
        <v>35</v>
      </c>
      <c r="CN38" s="197">
        <f t="shared" si="0"/>
        <v>-1.386532618099207</v>
      </c>
      <c r="CO38" s="197">
        <f t="shared" si="1"/>
        <v>18.88625080941075</v>
      </c>
      <c r="CP38" s="197">
        <f t="shared" si="2"/>
        <v>-2.6934585717446287</v>
      </c>
    </row>
    <row r="39" spans="1:94" ht="16" thickBot="1" x14ac:dyDescent="0.4">
      <c r="A39" s="24" t="s">
        <v>78</v>
      </c>
      <c r="B39" s="15">
        <f>SQRT(cRprime/aRprime)</f>
        <v>104.24848897789911</v>
      </c>
      <c r="C39" s="17" t="s">
        <v>1</v>
      </c>
      <c r="H39" s="141">
        <f>B39*KphToKts</f>
        <v>56.253231695391278</v>
      </c>
      <c r="I39" s="3" t="s">
        <v>8</v>
      </c>
      <c r="AE39" s="97"/>
      <c r="AF39" s="64"/>
      <c r="AG39" s="65"/>
      <c r="AH39" s="98" t="s">
        <v>43</v>
      </c>
      <c r="AI39" s="191">
        <f t="shared" ref="AI39:AQ39" si="59">KphToKts*(aRprime*(AI35*KtsToKph)^2+bRprime*AI35*KtsToKph+cRprime)</f>
        <v>-2.3725771352694247</v>
      </c>
      <c r="AJ39" s="191">
        <f t="shared" si="59"/>
        <v>-1.8730367122497122</v>
      </c>
      <c r="AK39" s="191">
        <f t="shared" si="59"/>
        <v>-1.5994459758481172</v>
      </c>
      <c r="AL39" s="191">
        <f t="shared" si="59"/>
        <v>-1.4440416171856465</v>
      </c>
      <c r="AM39" s="191">
        <f t="shared" si="59"/>
        <v>-1.3510302389789193</v>
      </c>
      <c r="AN39" s="191">
        <f t="shared" si="59"/>
        <v>-1.2923063805125596</v>
      </c>
      <c r="AO39" s="191">
        <f t="shared" si="59"/>
        <v>-1.2533912208886624</v>
      </c>
      <c r="AP39" s="191">
        <f t="shared" si="59"/>
        <v>-1.226500586437788</v>
      </c>
      <c r="AQ39" s="191">
        <f t="shared" si="59"/>
        <v>-1.2072455020507427</v>
      </c>
      <c r="AR39" s="99" t="s">
        <v>8</v>
      </c>
      <c r="AT39" s="97"/>
      <c r="AU39" s="64"/>
      <c r="AV39" s="65"/>
      <c r="AW39" s="98" t="s">
        <v>43</v>
      </c>
      <c r="AX39" s="191">
        <f t="shared" ref="AX39:BF39" si="60">KphToKts*(aRprime*(AX35*KtsToKph)^2+bRprime*AX35*KtsToKph+cRprime)</f>
        <v>-1.3510302389789193</v>
      </c>
      <c r="AY39" s="191">
        <f t="shared" si="60"/>
        <v>-1.3510302389789193</v>
      </c>
      <c r="AZ39" s="191">
        <f t="shared" si="60"/>
        <v>-1.3510302389789193</v>
      </c>
      <c r="BA39" s="191">
        <f t="shared" si="60"/>
        <v>-1.3510302389789193</v>
      </c>
      <c r="BB39" s="191">
        <f t="shared" si="60"/>
        <v>-1.3510302389789193</v>
      </c>
      <c r="BC39" s="191">
        <f t="shared" si="60"/>
        <v>-1.3510302389789193</v>
      </c>
      <c r="BD39" s="191">
        <f t="shared" si="60"/>
        <v>-1.3510302389789193</v>
      </c>
      <c r="BE39" s="191">
        <f t="shared" si="60"/>
        <v>-1.3510302389789193</v>
      </c>
      <c r="BF39" s="191">
        <f t="shared" si="60"/>
        <v>-1.3510302389789193</v>
      </c>
      <c r="BG39" s="99" t="s">
        <v>8</v>
      </c>
      <c r="BI39" s="97"/>
      <c r="BJ39" s="64"/>
      <c r="BK39" s="65"/>
      <c r="BL39" s="98" t="s">
        <v>43</v>
      </c>
      <c r="BM39" s="191">
        <f>KphToMps*(aRprime*BM35^2+bRprime*BM35+cRprime)</f>
        <v>-1.3291682794788433</v>
      </c>
      <c r="BN39" s="191">
        <f>KphToMps*(aRprime*BN35^2+bRprime*BN35+cRprime)</f>
        <v>-1.0035992992761249</v>
      </c>
      <c r="BO39" s="191">
        <f>KphToMps*(aRprime*BO35^2+bRprime*BO35+cRprime)</f>
        <v>-0.83493349414065943</v>
      </c>
      <c r="BP39" s="191">
        <f>KphToMps*(aRprime*BP35^2+bRprime*BP35+cRprime)</f>
        <v>-0.74435906897596882</v>
      </c>
      <c r="BQ39" s="191">
        <f>KphToMps*(aRprime*BQ35^2+bRprime*BQ35+cRprime)</f>
        <v>-0.69268946573003398</v>
      </c>
      <c r="BR39" s="191">
        <f>KphToMps*(aRprime*BR35^2+bRprime*BR35+cRprime)</f>
        <v>-0.66129580038478397</v>
      </c>
      <c r="BS39" s="191">
        <f>KphToMps*(aRprime*BS35^2+bRprime*BS35+cRprime)</f>
        <v>-0.64110989345866309</v>
      </c>
      <c r="BT39" s="191">
        <f>KphToMps*(aRprime*BT35^2+bRprime*BT35+cRprime)</f>
        <v>-0.6274890039034503</v>
      </c>
      <c r="BU39" s="191">
        <f>KphToMps*(aRprime*BU35^2+bRprime*BU35+cRprime)</f>
        <v>-0.61791894886261178</v>
      </c>
      <c r="BV39" s="99" t="s">
        <v>0</v>
      </c>
      <c r="BX39" s="97"/>
      <c r="BY39" s="64"/>
      <c r="BZ39" s="65"/>
      <c r="CA39" s="98" t="s">
        <v>43</v>
      </c>
      <c r="CB39" s="191">
        <f>KphToMps*(aRprime*CB35^2+bRprime*CB35+cRprime)</f>
        <v>-0.69268946573003398</v>
      </c>
      <c r="CC39" s="191">
        <f>KphToMps*(aRprime*CC35^2+bRprime*CC35+cRprime)</f>
        <v>-0.69268946573003398</v>
      </c>
      <c r="CD39" s="191">
        <f>KphToMps*(aRprime*CD35^2+bRprime*CD35+cRprime)</f>
        <v>-0.69268946573003398</v>
      </c>
      <c r="CE39" s="191">
        <f>KphToMps*(aRprime*CE35^2+bRprime*CE35+cRprime)</f>
        <v>-0.69268946573003398</v>
      </c>
      <c r="CF39" s="191">
        <f>KphToMps*(aRprime*CF35^2+bRprime*CF35+cRprime)</f>
        <v>-0.69268946573003398</v>
      </c>
      <c r="CG39" s="191">
        <f>KphToMps*(aRprime*CG35^2+bRprime*CG35+cRprime)</f>
        <v>-0.69268946573003398</v>
      </c>
      <c r="CH39" s="191">
        <f>KphToMps*(aRprime*CH35^2+bRprime*CH35+cRprime)</f>
        <v>-0.69268946573003398</v>
      </c>
      <c r="CI39" s="191">
        <f>KphToMps*(aRprime*CI35^2+bRprime*CI35+cRprime)</f>
        <v>-0.69268946573003398</v>
      </c>
      <c r="CJ39" s="191">
        <f>KphToMps*(aRprime*CJ35^2+bRprime*CJ35+cRprime)</f>
        <v>-0.69268946573003398</v>
      </c>
      <c r="CK39" s="99" t="s">
        <v>0</v>
      </c>
      <c r="CL39" s="194"/>
      <c r="CM39" s="197">
        <v>36</v>
      </c>
      <c r="CN39" s="197">
        <f t="shared" si="0"/>
        <v>-1.358617955479775</v>
      </c>
      <c r="CO39" s="197">
        <f t="shared" si="1"/>
        <v>19.425857975393914</v>
      </c>
      <c r="CP39" s="197">
        <f t="shared" si="2"/>
        <v>-2.6392319445970163</v>
      </c>
    </row>
    <row r="40" spans="1:94" ht="16" thickTop="1" x14ac:dyDescent="0.35">
      <c r="A40" s="24" t="s">
        <v>112</v>
      </c>
      <c r="B40" s="35">
        <f>(-bRprime-SQRT(bRprime^2-4*aRprime*(cRprime+7.2)))/(2*aRprime)</f>
        <v>168.19473981354849</v>
      </c>
      <c r="C40" s="10" t="s">
        <v>1</v>
      </c>
      <c r="H40" s="176">
        <f>B40*KphToKts</f>
        <v>90.759086884064587</v>
      </c>
      <c r="I40" s="36" t="s">
        <v>8</v>
      </c>
      <c r="AE40" s="66" t="s">
        <v>16</v>
      </c>
      <c r="AF40" s="67"/>
      <c r="AG40" s="68"/>
      <c r="AH40" s="69"/>
      <c r="AI40" s="45" t="s">
        <v>34</v>
      </c>
      <c r="AJ40" s="51"/>
      <c r="AK40" s="51"/>
      <c r="AL40" s="51"/>
      <c r="AM40" s="70" t="s">
        <v>35</v>
      </c>
      <c r="AN40" s="51"/>
      <c r="AO40" s="51"/>
      <c r="AP40" s="51"/>
      <c r="AQ40" s="71" t="s">
        <v>36</v>
      </c>
      <c r="AR40" s="72" t="s">
        <v>37</v>
      </c>
      <c r="AT40" s="66" t="s">
        <v>16</v>
      </c>
      <c r="AU40" s="67"/>
      <c r="AV40" s="68"/>
      <c r="AW40" s="69"/>
      <c r="AX40" s="45" t="s">
        <v>34</v>
      </c>
      <c r="AY40" s="51"/>
      <c r="AZ40" s="51"/>
      <c r="BA40" s="51"/>
      <c r="BB40" s="70" t="s">
        <v>35</v>
      </c>
      <c r="BC40" s="51"/>
      <c r="BD40" s="51"/>
      <c r="BE40" s="51"/>
      <c r="BF40" s="71" t="s">
        <v>36</v>
      </c>
      <c r="BG40" s="72" t="s">
        <v>37</v>
      </c>
      <c r="BI40" s="66" t="s">
        <v>16</v>
      </c>
      <c r="BJ40" s="67"/>
      <c r="BK40" s="68"/>
      <c r="BL40" s="69"/>
      <c r="BM40" s="45" t="s">
        <v>34</v>
      </c>
      <c r="BN40" s="51"/>
      <c r="BO40" s="51"/>
      <c r="BP40" s="51"/>
      <c r="BQ40" s="70" t="s">
        <v>35</v>
      </c>
      <c r="BR40" s="51"/>
      <c r="BS40" s="51"/>
      <c r="BT40" s="51"/>
      <c r="BU40" s="71" t="s">
        <v>36</v>
      </c>
      <c r="BV40" s="72" t="s">
        <v>37</v>
      </c>
      <c r="BX40" s="66" t="s">
        <v>16</v>
      </c>
      <c r="BY40" s="67"/>
      <c r="BZ40" s="68"/>
      <c r="CA40" s="69"/>
      <c r="CB40" s="45" t="s">
        <v>34</v>
      </c>
      <c r="CC40" s="51"/>
      <c r="CD40" s="51"/>
      <c r="CE40" s="51"/>
      <c r="CF40" s="70" t="s">
        <v>35</v>
      </c>
      <c r="CG40" s="51"/>
      <c r="CH40" s="51"/>
      <c r="CI40" s="51"/>
      <c r="CJ40" s="71" t="s">
        <v>36</v>
      </c>
      <c r="CK40" s="72" t="s">
        <v>37</v>
      </c>
      <c r="CL40" s="193"/>
      <c r="CM40" s="197">
        <v>37</v>
      </c>
      <c r="CN40" s="197">
        <f t="shared" si="0"/>
        <v>-1.3311953011736453</v>
      </c>
      <c r="CO40" s="197">
        <f t="shared" si="1"/>
        <v>19.965465141377077</v>
      </c>
      <c r="CP40" s="197">
        <f t="shared" si="2"/>
        <v>-2.5859610858110957</v>
      </c>
    </row>
    <row r="41" spans="1:94" ht="15.5" x14ac:dyDescent="0.35">
      <c r="A41" s="21" t="s">
        <v>79</v>
      </c>
      <c r="B41" s="22"/>
      <c r="C41" s="22"/>
      <c r="D41" s="22"/>
      <c r="E41" s="22"/>
      <c r="F41" s="22"/>
      <c r="G41" s="22"/>
      <c r="H41" s="22"/>
      <c r="I41" s="23"/>
      <c r="AE41" s="73" t="s">
        <v>8</v>
      </c>
      <c r="AF41" s="74"/>
      <c r="AG41" s="75"/>
      <c r="AH41" s="76"/>
      <c r="AI41" s="77">
        <v>40</v>
      </c>
      <c r="AJ41" s="78">
        <v>30</v>
      </c>
      <c r="AK41" s="78">
        <v>20</v>
      </c>
      <c r="AL41" s="78">
        <v>10</v>
      </c>
      <c r="AM41" s="78">
        <v>0</v>
      </c>
      <c r="AN41" s="78">
        <v>-10</v>
      </c>
      <c r="AO41" s="78">
        <v>-20</v>
      </c>
      <c r="AP41" s="78">
        <v>-30</v>
      </c>
      <c r="AQ41" s="79">
        <v>-40</v>
      </c>
      <c r="AR41" s="80" t="s">
        <v>8</v>
      </c>
      <c r="AT41" s="73" t="s">
        <v>8</v>
      </c>
      <c r="AU41" s="74"/>
      <c r="AV41" s="75"/>
      <c r="AW41" s="76"/>
      <c r="AX41" s="77">
        <v>40</v>
      </c>
      <c r="AY41" s="78">
        <v>30</v>
      </c>
      <c r="AZ41" s="78">
        <v>20</v>
      </c>
      <c r="BA41" s="78">
        <v>10</v>
      </c>
      <c r="BB41" s="78">
        <v>0</v>
      </c>
      <c r="BC41" s="78">
        <v>-10</v>
      </c>
      <c r="BD41" s="78">
        <v>-20</v>
      </c>
      <c r="BE41" s="78">
        <v>-30</v>
      </c>
      <c r="BF41" s="79">
        <v>-40</v>
      </c>
      <c r="BG41" s="80" t="s">
        <v>8</v>
      </c>
      <c r="BI41" s="73" t="s">
        <v>0</v>
      </c>
      <c r="BJ41" s="74"/>
      <c r="BK41" s="75"/>
      <c r="BL41" s="76"/>
      <c r="BM41" s="77">
        <v>80</v>
      </c>
      <c r="BN41" s="78">
        <v>60</v>
      </c>
      <c r="BO41" s="78">
        <v>40</v>
      </c>
      <c r="BP41" s="78">
        <v>20</v>
      </c>
      <c r="BQ41" s="78">
        <v>0</v>
      </c>
      <c r="BR41" s="78">
        <v>-20</v>
      </c>
      <c r="BS41" s="78">
        <v>-40</v>
      </c>
      <c r="BT41" s="78">
        <v>-60</v>
      </c>
      <c r="BU41" s="79">
        <v>-80</v>
      </c>
      <c r="BV41" s="80" t="s">
        <v>1</v>
      </c>
      <c r="BX41" s="73" t="s">
        <v>0</v>
      </c>
      <c r="BY41" s="74"/>
      <c r="BZ41" s="75"/>
      <c r="CA41" s="76"/>
      <c r="CB41" s="77">
        <v>80</v>
      </c>
      <c r="CC41" s="78">
        <v>60</v>
      </c>
      <c r="CD41" s="78">
        <v>40</v>
      </c>
      <c r="CE41" s="78">
        <v>20</v>
      </c>
      <c r="CF41" s="78">
        <v>0</v>
      </c>
      <c r="CG41" s="78">
        <v>-20</v>
      </c>
      <c r="CH41" s="78">
        <v>-40</v>
      </c>
      <c r="CI41" s="78">
        <v>-60</v>
      </c>
      <c r="CJ41" s="79">
        <v>-80</v>
      </c>
      <c r="CK41" s="80" t="s">
        <v>1</v>
      </c>
      <c r="CL41" s="193"/>
      <c r="CM41" s="197">
        <v>38</v>
      </c>
      <c r="CN41" s="197">
        <f t="shared" si="0"/>
        <v>-1.3042646551808168</v>
      </c>
      <c r="CO41" s="197">
        <f t="shared" si="1"/>
        <v>20.505072307360241</v>
      </c>
      <c r="CP41" s="197">
        <f t="shared" si="2"/>
        <v>-2.5336459953868662</v>
      </c>
    </row>
    <row r="42" spans="1:94" ht="15.5" x14ac:dyDescent="0.35">
      <c r="A42" s="24" t="s">
        <v>81</v>
      </c>
      <c r="B42" s="15">
        <f>V1CPrime</f>
        <v>104.24848897789911</v>
      </c>
      <c r="C42" s="3" t="s">
        <v>1</v>
      </c>
      <c r="H42" s="4">
        <f>B42*KphToKts</f>
        <v>56.253231695391278</v>
      </c>
      <c r="I42" s="3" t="s">
        <v>8</v>
      </c>
      <c r="AE42" s="66">
        <v>2</v>
      </c>
      <c r="AF42" s="81" t="s">
        <v>38</v>
      </c>
      <c r="AG42" s="60">
        <v>5</v>
      </c>
      <c r="AH42" s="71" t="s">
        <v>39</v>
      </c>
      <c r="AI42" s="82">
        <f t="shared" ref="AI42:AQ47" si="61">ROUND($AG42*SmiToFt/AI$51+$AI$11+$AI$12,-2)</f>
        <v>3800</v>
      </c>
      <c r="AJ42" s="82">
        <f t="shared" si="61"/>
        <v>3300</v>
      </c>
      <c r="AK42" s="82">
        <f t="shared" si="61"/>
        <v>2900</v>
      </c>
      <c r="AL42" s="82">
        <f t="shared" si="61"/>
        <v>2700</v>
      </c>
      <c r="AM42" s="83">
        <f t="shared" si="61"/>
        <v>2500</v>
      </c>
      <c r="AN42" s="82">
        <f t="shared" si="61"/>
        <v>2400</v>
      </c>
      <c r="AO42" s="82">
        <f t="shared" si="61"/>
        <v>2400</v>
      </c>
      <c r="AP42" s="82">
        <f t="shared" si="61"/>
        <v>2300</v>
      </c>
      <c r="AQ42" s="82">
        <f t="shared" si="61"/>
        <v>2300</v>
      </c>
      <c r="AR42" s="72" t="s">
        <v>33</v>
      </c>
      <c r="AT42" s="66">
        <v>2</v>
      </c>
      <c r="AU42" s="81" t="s">
        <v>38</v>
      </c>
      <c r="AV42" s="60">
        <v>5</v>
      </c>
      <c r="AW42" s="71" t="s">
        <v>39</v>
      </c>
      <c r="AX42" s="82">
        <f t="shared" ref="AX42:BF47" si="62">ROUND($AV42*SmiToFt/AX$51+$AX$11+$AX$12,-2)</f>
        <v>3500</v>
      </c>
      <c r="AY42" s="82">
        <f t="shared" si="62"/>
        <v>3100</v>
      </c>
      <c r="AZ42" s="82">
        <f t="shared" si="62"/>
        <v>2800</v>
      </c>
      <c r="BA42" s="82">
        <f t="shared" si="62"/>
        <v>2700</v>
      </c>
      <c r="BB42" s="83">
        <f t="shared" si="62"/>
        <v>2500</v>
      </c>
      <c r="BC42" s="82">
        <f t="shared" si="62"/>
        <v>2500</v>
      </c>
      <c r="BD42" s="82">
        <f t="shared" si="62"/>
        <v>2400</v>
      </c>
      <c r="BE42" s="82">
        <f t="shared" si="62"/>
        <v>2400</v>
      </c>
      <c r="BF42" s="82">
        <f t="shared" si="62"/>
        <v>2300</v>
      </c>
      <c r="BG42" s="72" t="s">
        <v>33</v>
      </c>
      <c r="BI42" s="66">
        <v>1</v>
      </c>
      <c r="BJ42" s="81" t="s">
        <v>38</v>
      </c>
      <c r="BK42" s="60">
        <v>10</v>
      </c>
      <c r="BL42" s="71" t="s">
        <v>170</v>
      </c>
      <c r="BM42" s="82">
        <f t="shared" ref="BM42:BU47" si="63">ROUND($BK42*1000/BM$51+$BM$11+$BM$12,-1)</f>
        <v>1360</v>
      </c>
      <c r="BN42" s="82">
        <f t="shared" si="63"/>
        <v>1120</v>
      </c>
      <c r="BO42" s="82">
        <f t="shared" si="63"/>
        <v>970</v>
      </c>
      <c r="BP42" s="82">
        <f t="shared" si="63"/>
        <v>880</v>
      </c>
      <c r="BQ42" s="83">
        <f t="shared" si="63"/>
        <v>820</v>
      </c>
      <c r="BR42" s="82">
        <f t="shared" si="63"/>
        <v>770</v>
      </c>
      <c r="BS42" s="82">
        <f t="shared" si="63"/>
        <v>740</v>
      </c>
      <c r="BT42" s="82">
        <f t="shared" si="63"/>
        <v>720</v>
      </c>
      <c r="BU42" s="82">
        <f t="shared" si="63"/>
        <v>700</v>
      </c>
      <c r="BV42" s="72" t="s">
        <v>164</v>
      </c>
      <c r="BX42" s="66">
        <v>1</v>
      </c>
      <c r="BY42" s="81" t="s">
        <v>38</v>
      </c>
      <c r="BZ42" s="60">
        <v>10</v>
      </c>
      <c r="CA42" s="71" t="s">
        <v>170</v>
      </c>
      <c r="CB42" s="82">
        <f t="shared" ref="CB42:CJ47" si="64">ROUND($BZ42*1000/CB$51+$CB$11+$CB$12,-1)</f>
        <v>1260</v>
      </c>
      <c r="CC42" s="82">
        <f t="shared" si="64"/>
        <v>1040</v>
      </c>
      <c r="CD42" s="82">
        <f t="shared" si="64"/>
        <v>930</v>
      </c>
      <c r="CE42" s="82">
        <f t="shared" si="64"/>
        <v>860</v>
      </c>
      <c r="CF42" s="83">
        <f>ROUND($BZ42*1000/CF$51+$CB$11+$CB$12,-1)</f>
        <v>820</v>
      </c>
      <c r="CG42" s="82">
        <f t="shared" si="64"/>
        <v>780</v>
      </c>
      <c r="CH42" s="82">
        <f t="shared" si="64"/>
        <v>760</v>
      </c>
      <c r="CI42" s="82">
        <f t="shared" si="64"/>
        <v>740</v>
      </c>
      <c r="CJ42" s="82">
        <f t="shared" si="64"/>
        <v>720</v>
      </c>
      <c r="CK42" s="72" t="s">
        <v>164</v>
      </c>
      <c r="CL42" s="193"/>
      <c r="CM42" s="197">
        <v>39</v>
      </c>
      <c r="CN42" s="197">
        <f t="shared" si="0"/>
        <v>-1.2778260175012905</v>
      </c>
      <c r="CO42" s="197">
        <f t="shared" si="1"/>
        <v>21.044679473343407</v>
      </c>
      <c r="CP42" s="197">
        <f t="shared" si="2"/>
        <v>-2.482286673324329</v>
      </c>
    </row>
    <row r="43" spans="1:94" ht="15.5" x14ac:dyDescent="0.35">
      <c r="A43" s="32" t="s">
        <v>80</v>
      </c>
      <c r="B43" s="25">
        <f>E43*KphToMps</f>
        <v>-0.61612582138238237</v>
      </c>
      <c r="C43" s="3" t="s">
        <v>0</v>
      </c>
      <c r="E43" s="7">
        <f>aRprime*V1Rprime^2+bRprime*V1Rprime+cRprime</f>
        <v>-2.2180529569765763</v>
      </c>
      <c r="F43" s="3" t="s">
        <v>1</v>
      </c>
      <c r="H43" s="5">
        <f>W1Rprimek*KphToKts</f>
        <v>-1.1968772701147077</v>
      </c>
      <c r="I43" s="3" t="s">
        <v>8</v>
      </c>
      <c r="AE43" s="84"/>
      <c r="AF43" s="53"/>
      <c r="AG43" s="85">
        <v>10</v>
      </c>
      <c r="AH43" s="86" t="s">
        <v>39</v>
      </c>
      <c r="AI43" s="82">
        <f t="shared" si="61"/>
        <v>5600</v>
      </c>
      <c r="AJ43" s="82">
        <f t="shared" si="61"/>
        <v>4600</v>
      </c>
      <c r="AK43" s="82">
        <f t="shared" si="61"/>
        <v>3900</v>
      </c>
      <c r="AL43" s="82">
        <f t="shared" si="61"/>
        <v>3500</v>
      </c>
      <c r="AM43" s="83">
        <f t="shared" si="61"/>
        <v>3200</v>
      </c>
      <c r="AN43" s="82">
        <f t="shared" si="61"/>
        <v>3000</v>
      </c>
      <c r="AO43" s="82">
        <f t="shared" si="61"/>
        <v>2800</v>
      </c>
      <c r="AP43" s="82">
        <f t="shared" si="61"/>
        <v>2700</v>
      </c>
      <c r="AQ43" s="82">
        <f t="shared" si="61"/>
        <v>2600</v>
      </c>
      <c r="AR43" s="87" t="s">
        <v>33</v>
      </c>
      <c r="AT43" s="84"/>
      <c r="AU43" s="53"/>
      <c r="AV43" s="85">
        <v>10</v>
      </c>
      <c r="AW43" s="86" t="s">
        <v>39</v>
      </c>
      <c r="AX43" s="82">
        <f t="shared" si="62"/>
        <v>5100</v>
      </c>
      <c r="AY43" s="82">
        <f t="shared" si="62"/>
        <v>4200</v>
      </c>
      <c r="AZ43" s="82">
        <f t="shared" si="62"/>
        <v>3700</v>
      </c>
      <c r="BA43" s="82">
        <f t="shared" si="62"/>
        <v>3400</v>
      </c>
      <c r="BB43" s="83">
        <f t="shared" si="62"/>
        <v>3200</v>
      </c>
      <c r="BC43" s="82">
        <f t="shared" si="62"/>
        <v>3000</v>
      </c>
      <c r="BD43" s="82">
        <f t="shared" si="62"/>
        <v>2900</v>
      </c>
      <c r="BE43" s="82">
        <f t="shared" si="62"/>
        <v>2800</v>
      </c>
      <c r="BF43" s="82">
        <f t="shared" si="62"/>
        <v>2700</v>
      </c>
      <c r="BG43" s="87" t="s">
        <v>33</v>
      </c>
      <c r="BI43" s="84"/>
      <c r="BJ43" s="53"/>
      <c r="BK43" s="85">
        <v>20</v>
      </c>
      <c r="BL43" s="86" t="s">
        <v>170</v>
      </c>
      <c r="BM43" s="82">
        <f t="shared" si="63"/>
        <v>2130</v>
      </c>
      <c r="BN43" s="82">
        <f t="shared" si="63"/>
        <v>1670</v>
      </c>
      <c r="BO43" s="82">
        <f t="shared" si="63"/>
        <v>1370</v>
      </c>
      <c r="BP43" s="82">
        <f t="shared" si="63"/>
        <v>1180</v>
      </c>
      <c r="BQ43" s="83">
        <f t="shared" si="63"/>
        <v>1050</v>
      </c>
      <c r="BR43" s="82">
        <f t="shared" si="63"/>
        <v>970</v>
      </c>
      <c r="BS43" s="82">
        <f t="shared" si="63"/>
        <v>910</v>
      </c>
      <c r="BT43" s="82">
        <f t="shared" si="63"/>
        <v>860</v>
      </c>
      <c r="BU43" s="82">
        <f t="shared" si="63"/>
        <v>830</v>
      </c>
      <c r="BV43" s="87" t="s">
        <v>164</v>
      </c>
      <c r="BX43" s="84"/>
      <c r="BY43" s="53"/>
      <c r="BZ43" s="85">
        <v>20</v>
      </c>
      <c r="CA43" s="86" t="s">
        <v>170</v>
      </c>
      <c r="CB43" s="82">
        <f t="shared" si="64"/>
        <v>1950</v>
      </c>
      <c r="CC43" s="82">
        <f t="shared" si="64"/>
        <v>1510</v>
      </c>
      <c r="CD43" s="82">
        <f t="shared" si="64"/>
        <v>1280</v>
      </c>
      <c r="CE43" s="82">
        <f t="shared" si="64"/>
        <v>1140</v>
      </c>
      <c r="CF43" s="83">
        <f t="shared" ref="CF43:CF47" si="65">ROUND($BZ43*1000/CF$51+$CB$11+$CB$12,-1)</f>
        <v>1050</v>
      </c>
      <c r="CG43" s="82">
        <f t="shared" si="64"/>
        <v>990</v>
      </c>
      <c r="CH43" s="82">
        <f t="shared" si="64"/>
        <v>940</v>
      </c>
      <c r="CI43" s="82">
        <f t="shared" si="64"/>
        <v>900</v>
      </c>
      <c r="CJ43" s="82">
        <f t="shared" si="64"/>
        <v>870</v>
      </c>
      <c r="CK43" s="87" t="s">
        <v>164</v>
      </c>
      <c r="CL43" s="193"/>
      <c r="CM43" s="197">
        <v>40</v>
      </c>
      <c r="CN43" s="197">
        <f t="shared" si="0"/>
        <v>-1.2518793881350661</v>
      </c>
      <c r="CO43" s="197">
        <f t="shared" si="1"/>
        <v>21.584286639326571</v>
      </c>
      <c r="CP43" s="197">
        <f t="shared" si="2"/>
        <v>-2.4318831196234822</v>
      </c>
    </row>
    <row r="44" spans="1:94" ht="15.5" x14ac:dyDescent="0.35">
      <c r="A44" s="32" t="s">
        <v>82</v>
      </c>
      <c r="B44" s="15">
        <f>(V1Rprime+V3Rprime)/2</f>
        <v>177.12424448894956</v>
      </c>
      <c r="C44" s="3" t="s">
        <v>1</v>
      </c>
      <c r="E44" s="1"/>
      <c r="H44" s="4">
        <f>B44*KphToKts</f>
        <v>95.577511595591176</v>
      </c>
      <c r="I44" s="3" t="s">
        <v>8</v>
      </c>
      <c r="AE44" s="84"/>
      <c r="AF44" s="53"/>
      <c r="AG44" s="85">
        <v>20</v>
      </c>
      <c r="AH44" s="86" t="s">
        <v>39</v>
      </c>
      <c r="AI44" s="82">
        <f t="shared" si="61"/>
        <v>9300</v>
      </c>
      <c r="AJ44" s="82">
        <f t="shared" si="61"/>
        <v>7300</v>
      </c>
      <c r="AK44" s="82">
        <f t="shared" si="61"/>
        <v>5900</v>
      </c>
      <c r="AL44" s="82">
        <f t="shared" si="61"/>
        <v>5000</v>
      </c>
      <c r="AM44" s="83">
        <f t="shared" si="61"/>
        <v>4400</v>
      </c>
      <c r="AN44" s="82">
        <f t="shared" si="61"/>
        <v>4000</v>
      </c>
      <c r="AO44" s="82">
        <f t="shared" si="61"/>
        <v>3700</v>
      </c>
      <c r="AP44" s="82">
        <f t="shared" si="61"/>
        <v>3500</v>
      </c>
      <c r="AQ44" s="82">
        <f t="shared" si="61"/>
        <v>3300</v>
      </c>
      <c r="AR44" s="87" t="s">
        <v>33</v>
      </c>
      <c r="AT44" s="84"/>
      <c r="AU44" s="53"/>
      <c r="AV44" s="85">
        <v>20</v>
      </c>
      <c r="AW44" s="86" t="s">
        <v>39</v>
      </c>
      <c r="AX44" s="82">
        <f t="shared" si="62"/>
        <v>8300</v>
      </c>
      <c r="AY44" s="82">
        <f t="shared" si="62"/>
        <v>6500</v>
      </c>
      <c r="AZ44" s="82">
        <f t="shared" si="62"/>
        <v>5500</v>
      </c>
      <c r="BA44" s="82">
        <f t="shared" si="62"/>
        <v>4900</v>
      </c>
      <c r="BB44" s="83">
        <f t="shared" si="62"/>
        <v>4400</v>
      </c>
      <c r="BC44" s="82">
        <f t="shared" si="62"/>
        <v>4100</v>
      </c>
      <c r="BD44" s="82">
        <f t="shared" si="62"/>
        <v>3800</v>
      </c>
      <c r="BE44" s="82">
        <f t="shared" si="62"/>
        <v>3600</v>
      </c>
      <c r="BF44" s="82">
        <f t="shared" si="62"/>
        <v>3500</v>
      </c>
      <c r="BG44" s="87" t="s">
        <v>33</v>
      </c>
      <c r="BI44" s="84"/>
      <c r="BJ44" s="53"/>
      <c r="BK44" s="85">
        <v>30</v>
      </c>
      <c r="BL44" s="86" t="s">
        <v>170</v>
      </c>
      <c r="BM44" s="82">
        <f t="shared" si="63"/>
        <v>2910</v>
      </c>
      <c r="BN44" s="82">
        <f t="shared" si="63"/>
        <v>2210</v>
      </c>
      <c r="BO44" s="82">
        <f t="shared" si="63"/>
        <v>1760</v>
      </c>
      <c r="BP44" s="82">
        <f t="shared" si="63"/>
        <v>1470</v>
      </c>
      <c r="BQ44" s="83">
        <f t="shared" si="63"/>
        <v>1290</v>
      </c>
      <c r="BR44" s="82">
        <f t="shared" si="63"/>
        <v>1160</v>
      </c>
      <c r="BS44" s="82">
        <f t="shared" si="63"/>
        <v>1070</v>
      </c>
      <c r="BT44" s="82">
        <f t="shared" si="63"/>
        <v>1010</v>
      </c>
      <c r="BU44" s="82">
        <f t="shared" si="63"/>
        <v>950</v>
      </c>
      <c r="BV44" s="87" t="s">
        <v>164</v>
      </c>
      <c r="BX44" s="84"/>
      <c r="BY44" s="53"/>
      <c r="BZ44" s="85">
        <v>30</v>
      </c>
      <c r="CA44" s="86" t="s">
        <v>170</v>
      </c>
      <c r="CB44" s="82">
        <f t="shared" si="64"/>
        <v>2630</v>
      </c>
      <c r="CC44" s="82">
        <f t="shared" si="64"/>
        <v>1970</v>
      </c>
      <c r="CD44" s="82">
        <f t="shared" si="64"/>
        <v>1630</v>
      </c>
      <c r="CE44" s="82">
        <f t="shared" si="64"/>
        <v>1430</v>
      </c>
      <c r="CF44" s="83">
        <f t="shared" si="65"/>
        <v>1290</v>
      </c>
      <c r="CG44" s="82">
        <f t="shared" si="64"/>
        <v>1190</v>
      </c>
      <c r="CH44" s="82">
        <f t="shared" si="64"/>
        <v>1110</v>
      </c>
      <c r="CI44" s="82">
        <f t="shared" si="64"/>
        <v>1060</v>
      </c>
      <c r="CJ44" s="82">
        <f t="shared" si="64"/>
        <v>1010</v>
      </c>
      <c r="CK44" s="87" t="s">
        <v>164</v>
      </c>
      <c r="CL44" s="193"/>
      <c r="CM44" s="197">
        <v>41</v>
      </c>
      <c r="CN44" s="197">
        <f t="shared" si="0"/>
        <v>-1.2264247670821435</v>
      </c>
      <c r="CO44" s="197">
        <f t="shared" si="1"/>
        <v>22.123893805309734</v>
      </c>
      <c r="CP44" s="197">
        <f t="shared" si="2"/>
        <v>-2.3824353342843283</v>
      </c>
    </row>
    <row r="45" spans="1:94" ht="15.5" x14ac:dyDescent="0.35">
      <c r="A45" s="32" t="s">
        <v>83</v>
      </c>
      <c r="B45" s="25">
        <f>E45*KphToMps</f>
        <v>-2.3533311040882641</v>
      </c>
      <c r="C45" s="3" t="s">
        <v>0</v>
      </c>
      <c r="E45" s="7">
        <f>aRprime*V2Rprime^2+bRprime*V2Rprime+cRprime</f>
        <v>-8.471991974717751</v>
      </c>
      <c r="F45" s="3" t="s">
        <v>1</v>
      </c>
      <c r="H45" s="5">
        <f>W2Rprimek*KphToKts</f>
        <v>-4.5715475797095575</v>
      </c>
      <c r="I45" s="3" t="s">
        <v>8</v>
      </c>
      <c r="AE45" s="84"/>
      <c r="AF45" s="53"/>
      <c r="AG45" s="85">
        <v>30</v>
      </c>
      <c r="AH45" s="86" t="s">
        <v>39</v>
      </c>
      <c r="AI45" s="82">
        <f t="shared" si="61"/>
        <v>13000</v>
      </c>
      <c r="AJ45" s="82">
        <f t="shared" si="61"/>
        <v>9900</v>
      </c>
      <c r="AK45" s="82">
        <f t="shared" si="61"/>
        <v>7900</v>
      </c>
      <c r="AL45" s="82">
        <f t="shared" si="61"/>
        <v>6600</v>
      </c>
      <c r="AM45" s="83">
        <f t="shared" si="61"/>
        <v>5700</v>
      </c>
      <c r="AN45" s="82">
        <f t="shared" si="61"/>
        <v>5000</v>
      </c>
      <c r="AO45" s="82">
        <f t="shared" si="61"/>
        <v>4600</v>
      </c>
      <c r="AP45" s="82">
        <f t="shared" si="61"/>
        <v>4200</v>
      </c>
      <c r="AQ45" s="82">
        <f t="shared" si="61"/>
        <v>4000</v>
      </c>
      <c r="AR45" s="87" t="s">
        <v>33</v>
      </c>
      <c r="AT45" s="84"/>
      <c r="AU45" s="53"/>
      <c r="AV45" s="85">
        <v>30</v>
      </c>
      <c r="AW45" s="86" t="s">
        <v>39</v>
      </c>
      <c r="AX45" s="82">
        <f t="shared" si="62"/>
        <v>11400</v>
      </c>
      <c r="AY45" s="82">
        <f t="shared" si="62"/>
        <v>8800</v>
      </c>
      <c r="AZ45" s="82">
        <f t="shared" si="62"/>
        <v>7300</v>
      </c>
      <c r="BA45" s="82">
        <f t="shared" si="62"/>
        <v>6300</v>
      </c>
      <c r="BB45" s="83">
        <f t="shared" si="62"/>
        <v>5700</v>
      </c>
      <c r="BC45" s="82">
        <f t="shared" si="62"/>
        <v>5200</v>
      </c>
      <c r="BD45" s="82">
        <f t="shared" si="62"/>
        <v>4800</v>
      </c>
      <c r="BE45" s="82">
        <f t="shared" si="62"/>
        <v>4500</v>
      </c>
      <c r="BF45" s="82">
        <f t="shared" si="62"/>
        <v>4300</v>
      </c>
      <c r="BG45" s="87" t="s">
        <v>33</v>
      </c>
      <c r="BI45" s="84"/>
      <c r="BJ45" s="53"/>
      <c r="BK45" s="85">
        <v>40</v>
      </c>
      <c r="BL45" s="86" t="s">
        <v>170</v>
      </c>
      <c r="BM45" s="82">
        <f t="shared" si="63"/>
        <v>3680</v>
      </c>
      <c r="BN45" s="82">
        <f t="shared" si="63"/>
        <v>2750</v>
      </c>
      <c r="BO45" s="82">
        <f t="shared" si="63"/>
        <v>2150</v>
      </c>
      <c r="BP45" s="82">
        <f t="shared" si="63"/>
        <v>1770</v>
      </c>
      <c r="BQ45" s="83">
        <f t="shared" si="63"/>
        <v>1520</v>
      </c>
      <c r="BR45" s="82">
        <f t="shared" si="63"/>
        <v>1360</v>
      </c>
      <c r="BS45" s="82">
        <f t="shared" si="63"/>
        <v>1240</v>
      </c>
      <c r="BT45" s="82">
        <f t="shared" si="63"/>
        <v>1150</v>
      </c>
      <c r="BU45" s="82">
        <f t="shared" si="63"/>
        <v>1080</v>
      </c>
      <c r="BV45" s="87" t="s">
        <v>164</v>
      </c>
      <c r="BX45" s="84"/>
      <c r="BY45" s="53"/>
      <c r="BZ45" s="85">
        <v>40</v>
      </c>
      <c r="CA45" s="86" t="s">
        <v>170</v>
      </c>
      <c r="CB45" s="82">
        <f t="shared" si="64"/>
        <v>3310</v>
      </c>
      <c r="CC45" s="82">
        <f t="shared" si="64"/>
        <v>2440</v>
      </c>
      <c r="CD45" s="82">
        <f t="shared" si="64"/>
        <v>1980</v>
      </c>
      <c r="CE45" s="82">
        <f t="shared" si="64"/>
        <v>1710</v>
      </c>
      <c r="CF45" s="83">
        <f t="shared" si="65"/>
        <v>1520</v>
      </c>
      <c r="CG45" s="82">
        <f t="shared" si="64"/>
        <v>1390</v>
      </c>
      <c r="CH45" s="82">
        <f t="shared" si="64"/>
        <v>1290</v>
      </c>
      <c r="CI45" s="82">
        <f t="shared" si="64"/>
        <v>1210</v>
      </c>
      <c r="CJ45" s="82">
        <f t="shared" si="64"/>
        <v>1150</v>
      </c>
      <c r="CK45" s="87" t="s">
        <v>164</v>
      </c>
      <c r="CL45" s="193"/>
      <c r="CM45" s="197">
        <v>42</v>
      </c>
      <c r="CN45" s="197">
        <f t="shared" si="0"/>
        <v>-1.2014621543425226</v>
      </c>
      <c r="CO45" s="197">
        <f t="shared" si="1"/>
        <v>22.663500971292898</v>
      </c>
      <c r="CP45" s="197">
        <f t="shared" si="2"/>
        <v>-2.333943317306864</v>
      </c>
    </row>
    <row r="46" spans="1:94" ht="15.5" x14ac:dyDescent="0.35">
      <c r="A46" s="32" t="s">
        <v>84</v>
      </c>
      <c r="B46" s="27">
        <v>250</v>
      </c>
      <c r="C46" s="3" t="s">
        <v>1</v>
      </c>
      <c r="E46" s="1"/>
      <c r="H46" s="4">
        <f>B46*KphToKts</f>
        <v>134.90179149579106</v>
      </c>
      <c r="I46" s="3" t="s">
        <v>8</v>
      </c>
      <c r="AE46" s="84"/>
      <c r="AF46" s="53"/>
      <c r="AG46" s="85">
        <v>40</v>
      </c>
      <c r="AH46" s="86" t="s">
        <v>39</v>
      </c>
      <c r="AI46" s="82">
        <f t="shared" si="61"/>
        <v>16700</v>
      </c>
      <c r="AJ46" s="82">
        <f t="shared" si="61"/>
        <v>12600</v>
      </c>
      <c r="AK46" s="82">
        <f t="shared" si="61"/>
        <v>9900</v>
      </c>
      <c r="AL46" s="82">
        <f t="shared" si="61"/>
        <v>8100</v>
      </c>
      <c r="AM46" s="83">
        <f t="shared" si="61"/>
        <v>6900</v>
      </c>
      <c r="AN46" s="82">
        <f t="shared" si="61"/>
        <v>6100</v>
      </c>
      <c r="AO46" s="82">
        <f t="shared" si="61"/>
        <v>5500</v>
      </c>
      <c r="AP46" s="82">
        <f t="shared" si="61"/>
        <v>5000</v>
      </c>
      <c r="AQ46" s="82">
        <f t="shared" si="61"/>
        <v>4700</v>
      </c>
      <c r="AR46" s="87" t="s">
        <v>33</v>
      </c>
      <c r="AT46" s="84"/>
      <c r="AU46" s="53"/>
      <c r="AV46" s="85">
        <v>40</v>
      </c>
      <c r="AW46" s="86" t="s">
        <v>39</v>
      </c>
      <c r="AX46" s="82">
        <f t="shared" si="62"/>
        <v>14600</v>
      </c>
      <c r="AY46" s="82">
        <f t="shared" si="62"/>
        <v>11100</v>
      </c>
      <c r="AZ46" s="82">
        <f t="shared" si="62"/>
        <v>9100</v>
      </c>
      <c r="BA46" s="82">
        <f t="shared" si="62"/>
        <v>7800</v>
      </c>
      <c r="BB46" s="83">
        <f t="shared" si="62"/>
        <v>6900</v>
      </c>
      <c r="BC46" s="82">
        <f t="shared" si="62"/>
        <v>6300</v>
      </c>
      <c r="BD46" s="82">
        <f t="shared" si="62"/>
        <v>5800</v>
      </c>
      <c r="BE46" s="82">
        <f t="shared" si="62"/>
        <v>5400</v>
      </c>
      <c r="BF46" s="82">
        <f t="shared" si="62"/>
        <v>5000</v>
      </c>
      <c r="BG46" s="87" t="s">
        <v>33</v>
      </c>
      <c r="BI46" s="84"/>
      <c r="BJ46" s="53"/>
      <c r="BK46" s="85">
        <v>50</v>
      </c>
      <c r="BL46" s="86" t="s">
        <v>170</v>
      </c>
      <c r="BM46" s="82">
        <f t="shared" si="63"/>
        <v>4460</v>
      </c>
      <c r="BN46" s="82">
        <f t="shared" si="63"/>
        <v>3290</v>
      </c>
      <c r="BO46" s="82">
        <f t="shared" si="63"/>
        <v>2550</v>
      </c>
      <c r="BP46" s="82">
        <f t="shared" si="63"/>
        <v>2070</v>
      </c>
      <c r="BQ46" s="83">
        <f t="shared" si="63"/>
        <v>1760</v>
      </c>
      <c r="BR46" s="82">
        <f t="shared" si="63"/>
        <v>1550</v>
      </c>
      <c r="BS46" s="82">
        <f t="shared" si="63"/>
        <v>1400</v>
      </c>
      <c r="BT46" s="82">
        <f t="shared" si="63"/>
        <v>1290</v>
      </c>
      <c r="BU46" s="82">
        <f t="shared" si="63"/>
        <v>1200</v>
      </c>
      <c r="BV46" s="87" t="s">
        <v>164</v>
      </c>
      <c r="BX46" s="84"/>
      <c r="BY46" s="53"/>
      <c r="BZ46" s="85">
        <v>50</v>
      </c>
      <c r="CA46" s="86" t="s">
        <v>170</v>
      </c>
      <c r="CB46" s="82">
        <f t="shared" si="64"/>
        <v>4000</v>
      </c>
      <c r="CC46" s="82">
        <f t="shared" si="64"/>
        <v>2900</v>
      </c>
      <c r="CD46" s="82">
        <f t="shared" si="64"/>
        <v>2340</v>
      </c>
      <c r="CE46" s="82">
        <f t="shared" si="64"/>
        <v>1990</v>
      </c>
      <c r="CF46" s="83">
        <f t="shared" si="65"/>
        <v>1760</v>
      </c>
      <c r="CG46" s="82">
        <f t="shared" si="64"/>
        <v>1590</v>
      </c>
      <c r="CH46" s="82">
        <f t="shared" si="64"/>
        <v>1470</v>
      </c>
      <c r="CI46" s="82">
        <f t="shared" si="64"/>
        <v>1370</v>
      </c>
      <c r="CJ46" s="82">
        <f t="shared" si="64"/>
        <v>1290</v>
      </c>
      <c r="CK46" s="87" t="s">
        <v>164</v>
      </c>
      <c r="CL46" s="193"/>
      <c r="CM46" s="197">
        <v>43</v>
      </c>
      <c r="CN46" s="197">
        <f t="shared" si="0"/>
        <v>-1.1769915499162031</v>
      </c>
      <c r="CO46" s="197">
        <f t="shared" si="1"/>
        <v>23.203108137276065</v>
      </c>
      <c r="CP46" s="197">
        <f t="shared" si="2"/>
        <v>-2.286407068691092</v>
      </c>
    </row>
    <row r="47" spans="1:94" ht="15.5" x14ac:dyDescent="0.35">
      <c r="A47" s="32" t="s">
        <v>85</v>
      </c>
      <c r="B47" s="25">
        <f>E47*KphToMps</f>
        <v>-6.7035314024299</v>
      </c>
      <c r="C47" s="36" t="s">
        <v>0</v>
      </c>
      <c r="E47" s="125">
        <f>aRprime*V3Rprime^2+bRprime*V3Rprime+cRprime</f>
        <v>-24.13271304874764</v>
      </c>
      <c r="F47" s="36" t="s">
        <v>1</v>
      </c>
      <c r="H47" s="5">
        <f>W3Rprimek*KphToKts</f>
        <v>-13.022184895719642</v>
      </c>
      <c r="I47" s="36" t="s">
        <v>8</v>
      </c>
      <c r="AE47" s="84"/>
      <c r="AF47" s="53"/>
      <c r="AG47" s="85">
        <v>50</v>
      </c>
      <c r="AH47" s="86" t="s">
        <v>39</v>
      </c>
      <c r="AI47" s="82">
        <f t="shared" si="61"/>
        <v>20400</v>
      </c>
      <c r="AJ47" s="82">
        <f t="shared" si="61"/>
        <v>15300</v>
      </c>
      <c r="AK47" s="82">
        <f t="shared" si="61"/>
        <v>11900</v>
      </c>
      <c r="AL47" s="82">
        <f t="shared" si="61"/>
        <v>9700</v>
      </c>
      <c r="AM47" s="83">
        <f t="shared" si="61"/>
        <v>8200</v>
      </c>
      <c r="AN47" s="82">
        <f t="shared" si="61"/>
        <v>7100</v>
      </c>
      <c r="AO47" s="82">
        <f t="shared" si="61"/>
        <v>6400</v>
      </c>
      <c r="AP47" s="82">
        <f t="shared" si="61"/>
        <v>5800</v>
      </c>
      <c r="AQ47" s="82">
        <f t="shared" si="61"/>
        <v>5300</v>
      </c>
      <c r="AR47" s="87" t="s">
        <v>33</v>
      </c>
      <c r="AT47" s="84"/>
      <c r="AU47" s="53"/>
      <c r="AV47" s="85">
        <v>50</v>
      </c>
      <c r="AW47" s="86" t="s">
        <v>39</v>
      </c>
      <c r="AX47" s="82">
        <f t="shared" si="62"/>
        <v>17700</v>
      </c>
      <c r="AY47" s="82">
        <f t="shared" si="62"/>
        <v>13400</v>
      </c>
      <c r="AZ47" s="82">
        <f t="shared" si="62"/>
        <v>10900</v>
      </c>
      <c r="BA47" s="82">
        <f t="shared" si="62"/>
        <v>9300</v>
      </c>
      <c r="BB47" s="83">
        <f t="shared" si="62"/>
        <v>8200</v>
      </c>
      <c r="BC47" s="82">
        <f t="shared" si="62"/>
        <v>7400</v>
      </c>
      <c r="BD47" s="82">
        <f t="shared" si="62"/>
        <v>6700</v>
      </c>
      <c r="BE47" s="82">
        <f t="shared" si="62"/>
        <v>6200</v>
      </c>
      <c r="BF47" s="82">
        <f t="shared" si="62"/>
        <v>5800</v>
      </c>
      <c r="BG47" s="87" t="s">
        <v>33</v>
      </c>
      <c r="BI47" s="84"/>
      <c r="BJ47" s="53"/>
      <c r="BK47" s="85">
        <v>100</v>
      </c>
      <c r="BL47" s="86" t="s">
        <v>170</v>
      </c>
      <c r="BM47" s="82">
        <f t="shared" si="63"/>
        <v>8340</v>
      </c>
      <c r="BN47" s="82">
        <f t="shared" si="63"/>
        <v>6010</v>
      </c>
      <c r="BO47" s="82">
        <f t="shared" si="63"/>
        <v>4510</v>
      </c>
      <c r="BP47" s="82">
        <f t="shared" si="63"/>
        <v>3560</v>
      </c>
      <c r="BQ47" s="83">
        <f t="shared" si="63"/>
        <v>2940</v>
      </c>
      <c r="BR47" s="82">
        <f t="shared" si="63"/>
        <v>2520</v>
      </c>
      <c r="BS47" s="82">
        <f t="shared" si="63"/>
        <v>2220</v>
      </c>
      <c r="BT47" s="82">
        <f t="shared" si="63"/>
        <v>2000</v>
      </c>
      <c r="BU47" s="82">
        <f t="shared" si="63"/>
        <v>1830</v>
      </c>
      <c r="BV47" s="87" t="s">
        <v>164</v>
      </c>
      <c r="BX47" s="84"/>
      <c r="BY47" s="53"/>
      <c r="BZ47" s="85">
        <v>100</v>
      </c>
      <c r="CA47" s="86" t="s">
        <v>170</v>
      </c>
      <c r="CB47" s="82">
        <f t="shared" si="64"/>
        <v>7420</v>
      </c>
      <c r="CC47" s="82">
        <f t="shared" si="64"/>
        <v>5220</v>
      </c>
      <c r="CD47" s="82">
        <f t="shared" si="64"/>
        <v>4090</v>
      </c>
      <c r="CE47" s="82">
        <f t="shared" si="64"/>
        <v>3400</v>
      </c>
      <c r="CF47" s="83">
        <f t="shared" si="65"/>
        <v>2940</v>
      </c>
      <c r="CG47" s="82">
        <f t="shared" si="64"/>
        <v>2610</v>
      </c>
      <c r="CH47" s="82">
        <f t="shared" si="64"/>
        <v>2360</v>
      </c>
      <c r="CI47" s="82">
        <f t="shared" si="64"/>
        <v>2160</v>
      </c>
      <c r="CJ47" s="82">
        <f t="shared" si="64"/>
        <v>2010</v>
      </c>
      <c r="CK47" s="87" t="s">
        <v>164</v>
      </c>
      <c r="CL47" s="193"/>
      <c r="CM47" s="197">
        <v>44</v>
      </c>
      <c r="CN47" s="197">
        <f t="shared" si="0"/>
        <v>-1.1530129538031861</v>
      </c>
      <c r="CO47" s="197">
        <f t="shared" si="1"/>
        <v>23.742715303259228</v>
      </c>
      <c r="CP47" s="197">
        <f t="shared" si="2"/>
        <v>-2.2398265884370114</v>
      </c>
    </row>
    <row r="48" spans="1:94" ht="15.5" x14ac:dyDescent="0.35">
      <c r="A48" s="28" t="s">
        <v>95</v>
      </c>
      <c r="B48" s="29"/>
      <c r="C48" s="29"/>
      <c r="D48" s="29"/>
      <c r="E48" s="29"/>
      <c r="F48" s="29"/>
      <c r="G48" s="29"/>
      <c r="H48" s="29"/>
      <c r="I48" s="30"/>
      <c r="AE48" s="88"/>
      <c r="AF48" s="89"/>
      <c r="AG48" s="61"/>
      <c r="AH48" s="90" t="s">
        <v>40</v>
      </c>
      <c r="AI48" s="91">
        <f>KphToKts*(aRprime*AI28*KtsToKph-SQRT(aRprime*(aRprime*(AI28*KtsToKph)^2-$AE42*KtsToKph+bRprime*AI28*KtsToKph+cRprime)))/aRprime</f>
        <v>84.73619417295771</v>
      </c>
      <c r="AJ48" s="91">
        <f>KphToKts*(aRprime*AJ28*KtsToKph-SQRT(aRprime*(aRprime*(AJ28*KtsToKph)^2-$AE42*KtsToKph+bRprime*AJ28*KtsToKph+cRprime)))/aRprime</f>
        <v>77.924450254563098</v>
      </c>
      <c r="AK48" s="91">
        <f>KphToKts*(aRprime*AK28*KtsToKph-SQRT(aRprime*(aRprime*(AK28*KtsToKph)^2-$AE42*KtsToKph+bRprime*AK28*KtsToKph+cRprime)))/aRprime</f>
        <v>72.841071103107041</v>
      </c>
      <c r="AL48" s="91">
        <f>KphToKts*(aRprime*AL28*KtsToKph-SQRT(aRprime*(aRprime*(AL28*KtsToKph)^2-$AE42*KtsToKph+bRprime*AL28*KtsToKph+cRprime)))/aRprime</f>
        <v>69.055945157495628</v>
      </c>
      <c r="AM48" s="178">
        <f>KphToKts*(aRprime*AM41*KtsToKph-SQRT(aRprime*(aRprime*(AM41*KtsToKph)^2-$AE42*KtsToKph+bRprime*AM41*KtsToKph+cRprime)))/aRprime</f>
        <v>66.204459982441165</v>
      </c>
      <c r="AN48" s="91">
        <f>KphToKts*(aRprime*AN28*KtsToKph-SQRT(aRprime*(aRprime*(AN28*KtsToKph)^2-$AE42*KtsToKph+bRprime*AN28*KtsToKph+cRprime)))/aRprime</f>
        <v>64.016595332993887</v>
      </c>
      <c r="AO48" s="91">
        <f>KphToKts*(aRprime*AO28*KtsToKph-SQRT(aRprime*(aRprime*(AO28*KtsToKph)^2-$AE42*KtsToKph+bRprime*AO28*KtsToKph+cRprime)))/aRprime</f>
        <v>62.30359802468962</v>
      </c>
      <c r="AP48" s="91">
        <f>KphToKts*(aRprime*AP28*KtsToKph-SQRT(aRprime*(aRprime*(AP28*KtsToKph)^2-$AE42*KtsToKph+bRprime*AP28*KtsToKph+cRprime)))/aRprime</f>
        <v>60.9357361598355</v>
      </c>
      <c r="AQ48" s="91">
        <f>KphToKts*(aRprime*AQ28*KtsToKph-SQRT(aRprime*(aRprime*(AQ28*KtsToKph)^2-$AE42*KtsToKph+bRprime*AQ28*KtsToKph+cRprime)))/aRprime</f>
        <v>59.82351413395908</v>
      </c>
      <c r="AR48" s="72" t="s">
        <v>8</v>
      </c>
      <c r="AT48" s="88"/>
      <c r="AU48" s="89"/>
      <c r="AV48" s="61"/>
      <c r="AW48" s="90" t="s">
        <v>40</v>
      </c>
      <c r="AX48" s="177">
        <f t="shared" ref="AX48:BF48" si="66">KphToKts*(-1*SQRT(aRprime*(-$AT42*KtsToKph+cRprime)))/aRprime</f>
        <v>66.204459982441165</v>
      </c>
      <c r="AY48" s="177">
        <f t="shared" si="66"/>
        <v>66.204459982441165</v>
      </c>
      <c r="AZ48" s="177">
        <f t="shared" si="66"/>
        <v>66.204459982441165</v>
      </c>
      <c r="BA48" s="177">
        <f t="shared" si="66"/>
        <v>66.204459982441165</v>
      </c>
      <c r="BB48" s="178">
        <f t="shared" si="66"/>
        <v>66.204459982441165</v>
      </c>
      <c r="BC48" s="177">
        <f t="shared" si="66"/>
        <v>66.204459982441165</v>
      </c>
      <c r="BD48" s="177">
        <f t="shared" si="66"/>
        <v>66.204459982441165</v>
      </c>
      <c r="BE48" s="177">
        <f t="shared" si="66"/>
        <v>66.204459982441165</v>
      </c>
      <c r="BF48" s="177">
        <f t="shared" si="66"/>
        <v>66.204459982441165</v>
      </c>
      <c r="BG48" s="72" t="s">
        <v>8</v>
      </c>
      <c r="BI48" s="88"/>
      <c r="BJ48" s="89"/>
      <c r="BK48" s="61"/>
      <c r="BL48" s="90" t="s">
        <v>40</v>
      </c>
      <c r="BM48" s="177">
        <f t="shared" ref="BM48:BU48" si="67">(aRprime*BM41-SQRT(aRprime*(aRprime*BM41^2-$BI42*MpsToKph+bRprime*BM41+cRprime)))/aRprime</f>
        <v>161.08596513971557</v>
      </c>
      <c r="BN48" s="177">
        <f t="shared" si="67"/>
        <v>146.39664438919354</v>
      </c>
      <c r="BO48" s="177">
        <f t="shared" si="67"/>
        <v>135.67563211594873</v>
      </c>
      <c r="BP48" s="177">
        <f t="shared" si="67"/>
        <v>127.90399899846143</v>
      </c>
      <c r="BQ48" s="178">
        <f t="shared" si="67"/>
        <v>122.19950662311842</v>
      </c>
      <c r="BR48" s="177">
        <f t="shared" si="67"/>
        <v>117.920868029487</v>
      </c>
      <c r="BS48" s="177">
        <f t="shared" si="67"/>
        <v>114.63380050002252</v>
      </c>
      <c r="BT48" s="177">
        <f t="shared" si="67"/>
        <v>112.04958202842101</v>
      </c>
      <c r="BU48" s="177">
        <f t="shared" si="67"/>
        <v>109.9750117653055</v>
      </c>
      <c r="BV48" s="72" t="s">
        <v>1</v>
      </c>
      <c r="BX48" s="88"/>
      <c r="BY48" s="89"/>
      <c r="BZ48" s="61"/>
      <c r="CA48" s="90" t="s">
        <v>40</v>
      </c>
      <c r="CB48" s="177">
        <f t="shared" ref="CB48:CJ48" si="68">(-1*SQRT(aRprime*(-$BX42*MpsToKph+cRprime)))/aRprime</f>
        <v>122.19950662311842</v>
      </c>
      <c r="CC48" s="177">
        <f t="shared" si="68"/>
        <v>122.19950662311842</v>
      </c>
      <c r="CD48" s="177">
        <f t="shared" si="68"/>
        <v>122.19950662311842</v>
      </c>
      <c r="CE48" s="177">
        <f t="shared" si="68"/>
        <v>122.19950662311842</v>
      </c>
      <c r="CF48" s="178">
        <f t="shared" si="68"/>
        <v>122.19950662311842</v>
      </c>
      <c r="CG48" s="177">
        <f t="shared" si="68"/>
        <v>122.19950662311842</v>
      </c>
      <c r="CH48" s="177">
        <f t="shared" si="68"/>
        <v>122.19950662311842</v>
      </c>
      <c r="CI48" s="177">
        <f t="shared" si="68"/>
        <v>122.19950662311842</v>
      </c>
      <c r="CJ48" s="177">
        <f t="shared" si="68"/>
        <v>122.19950662311842</v>
      </c>
      <c r="CK48" s="72" t="s">
        <v>1</v>
      </c>
      <c r="CL48" s="193"/>
      <c r="CM48" s="197">
        <v>45</v>
      </c>
      <c r="CN48" s="197">
        <f t="shared" si="0"/>
        <v>-1.1295263660034709</v>
      </c>
      <c r="CO48" s="197">
        <f t="shared" si="1"/>
        <v>24.282322469242391</v>
      </c>
      <c r="CP48" s="197">
        <f t="shared" si="2"/>
        <v>-2.1942018765446232</v>
      </c>
    </row>
    <row r="49" spans="1:94" ht="15.5" x14ac:dyDescent="0.35">
      <c r="A49" s="24" t="s">
        <v>96</v>
      </c>
      <c r="B49" s="34">
        <f>IF(Method="N",aN/SqrRtRatio,((V2Rprime/100-V3Rprime/100)*(W3Rprimem-W1Rprimem)+(V3Rprime/100-V1Rprime/100)*(W3Rprimem-W2Rprimem))/((V1Rprime/100)^2*(V2Rprime/100-V3Rprime/100)+(V2Rprime/100)^2*(V3Rprime/100-V1Rprime/100)+(V3Rprime/100)^2*(V1Rprime/100-V2Rprime/100)))</f>
        <v>2.4600415665091364</v>
      </c>
      <c r="C49" s="8"/>
      <c r="D49" s="9"/>
      <c r="E49" s="9"/>
      <c r="F49" s="9"/>
      <c r="G49" s="9"/>
      <c r="H49" s="9"/>
      <c r="I49" s="10"/>
      <c r="AE49" s="84"/>
      <c r="AF49" s="62"/>
      <c r="AG49" s="63"/>
      <c r="AH49" s="92" t="s">
        <v>41</v>
      </c>
      <c r="AI49" s="190">
        <f t="shared" ref="AI49:AQ49" si="69">KphToKts*($AE42*KtsToKph-AI41*KtsToKph*(2*aRprime*AI48*KtsToKph+bRprime))</f>
        <v>6.5908122064209227</v>
      </c>
      <c r="AJ49" s="190">
        <f t="shared" si="69"/>
        <v>4.7723342587460387</v>
      </c>
      <c r="AK49" s="190">
        <f t="shared" si="69"/>
        <v>3.5145047621830172</v>
      </c>
      <c r="AL49" s="190">
        <f t="shared" si="69"/>
        <v>2.6330077680039188</v>
      </c>
      <c r="AM49" s="190">
        <f t="shared" si="69"/>
        <v>2</v>
      </c>
      <c r="AN49" s="190">
        <f t="shared" si="69"/>
        <v>1.532406032792899</v>
      </c>
      <c r="AO49" s="190">
        <f t="shared" si="69"/>
        <v>1.1772683964178587</v>
      </c>
      <c r="AP49" s="190">
        <f t="shared" si="69"/>
        <v>0.90060046513208636</v>
      </c>
      <c r="AQ49" s="190">
        <f t="shared" si="69"/>
        <v>0.68016618309243371</v>
      </c>
      <c r="AR49" s="93" t="s">
        <v>8</v>
      </c>
      <c r="AT49" s="84"/>
      <c r="AU49" s="62"/>
      <c r="AV49" s="63"/>
      <c r="AW49" s="92" t="s">
        <v>41</v>
      </c>
      <c r="AX49" s="207">
        <f t="shared" ref="AX49:BF49" si="70">$AT42</f>
        <v>2</v>
      </c>
      <c r="AY49" s="207">
        <f t="shared" si="70"/>
        <v>2</v>
      </c>
      <c r="AZ49" s="207">
        <f t="shared" si="70"/>
        <v>2</v>
      </c>
      <c r="BA49" s="207">
        <f t="shared" si="70"/>
        <v>2</v>
      </c>
      <c r="BB49" s="207">
        <f t="shared" si="70"/>
        <v>2</v>
      </c>
      <c r="BC49" s="207">
        <f t="shared" si="70"/>
        <v>2</v>
      </c>
      <c r="BD49" s="207">
        <f t="shared" si="70"/>
        <v>2</v>
      </c>
      <c r="BE49" s="207">
        <f t="shared" si="70"/>
        <v>2</v>
      </c>
      <c r="BF49" s="207">
        <f t="shared" si="70"/>
        <v>2</v>
      </c>
      <c r="BG49" s="93" t="s">
        <v>8</v>
      </c>
      <c r="BI49" s="84"/>
      <c r="BJ49" s="62"/>
      <c r="BK49" s="63"/>
      <c r="BL49" s="92" t="s">
        <v>41</v>
      </c>
      <c r="BM49" s="190">
        <f t="shared" ref="BM49:BU49" si="71">KphToMps*($BI42*MpsToKph-BM41*(2*aRprime*BM48+bRprime))</f>
        <v>3.7099741010673366</v>
      </c>
      <c r="BN49" s="190">
        <f t="shared" si="71"/>
        <v>2.5988445002396694</v>
      </c>
      <c r="BO49" s="190">
        <f t="shared" si="71"/>
        <v>1.8549032468752182</v>
      </c>
      <c r="BP49" s="190">
        <f t="shared" si="71"/>
        <v>1.3509774614028982</v>
      </c>
      <c r="BQ49" s="190">
        <f t="shared" si="71"/>
        <v>1</v>
      </c>
      <c r="BR49" s="190">
        <f t="shared" si="71"/>
        <v>0.74725820718742886</v>
      </c>
      <c r="BS49" s="190">
        <f t="shared" si="71"/>
        <v>0.55920699641009841</v>
      </c>
      <c r="BT49" s="190">
        <f t="shared" si="71"/>
        <v>0.4150979129001125</v>
      </c>
      <c r="BU49" s="190">
        <f t="shared" si="71"/>
        <v>0.30178701581201101</v>
      </c>
      <c r="BV49" s="93" t="s">
        <v>0</v>
      </c>
      <c r="BX49" s="84"/>
      <c r="BY49" s="62"/>
      <c r="BZ49" s="63"/>
      <c r="CA49" s="92" t="s">
        <v>41</v>
      </c>
      <c r="CB49" s="207">
        <f t="shared" ref="CB49:CE49" si="72">$BX42</f>
        <v>1</v>
      </c>
      <c r="CC49" s="207">
        <f t="shared" si="72"/>
        <v>1</v>
      </c>
      <c r="CD49" s="207">
        <f t="shared" si="72"/>
        <v>1</v>
      </c>
      <c r="CE49" s="207">
        <f t="shared" si="72"/>
        <v>1</v>
      </c>
      <c r="CF49" s="207">
        <f>$BX42</f>
        <v>1</v>
      </c>
      <c r="CG49" s="207">
        <f t="shared" ref="CG49:CJ49" si="73">$BX42</f>
        <v>1</v>
      </c>
      <c r="CH49" s="207">
        <f t="shared" si="73"/>
        <v>1</v>
      </c>
      <c r="CI49" s="207">
        <f t="shared" si="73"/>
        <v>1</v>
      </c>
      <c r="CJ49" s="207">
        <f t="shared" si="73"/>
        <v>1</v>
      </c>
      <c r="CK49" s="93" t="s">
        <v>0</v>
      </c>
      <c r="CL49" s="193"/>
      <c r="CM49" s="197">
        <v>46</v>
      </c>
      <c r="CN49" s="197">
        <f t="shared" si="0"/>
        <v>-1.1065317865170572</v>
      </c>
      <c r="CO49" s="197">
        <f t="shared" si="1"/>
        <v>24.821929635225555</v>
      </c>
      <c r="CP49" s="197">
        <f t="shared" si="2"/>
        <v>-2.1495329330139255</v>
      </c>
    </row>
    <row r="50" spans="1:94" ht="15.5" x14ac:dyDescent="0.35">
      <c r="A50" s="24" t="s">
        <v>97</v>
      </c>
      <c r="B50" s="34">
        <f>IF(Method="N",bN,((W3Rprimem-W2Rprimem)-aNprime*((V2Rprime/100)^2-(V3Rprime/100)^2))/(V2Rprime/100-V3Rprime/100))</f>
        <v>-4.5380957741646686</v>
      </c>
      <c r="C50" s="19"/>
      <c r="D50" s="16"/>
      <c r="E50" s="16"/>
      <c r="F50" s="16"/>
      <c r="G50" s="16"/>
      <c r="H50" s="16"/>
      <c r="I50" s="20"/>
      <c r="AE50" s="94"/>
      <c r="AF50" s="89"/>
      <c r="AG50" s="61"/>
      <c r="AH50" s="71" t="s">
        <v>49</v>
      </c>
      <c r="AI50" s="95">
        <f t="shared" ref="AI50:AL50" si="74">AI48-AI41</f>
        <v>44.73619417295771</v>
      </c>
      <c r="AJ50" s="95">
        <f t="shared" si="74"/>
        <v>47.924450254563098</v>
      </c>
      <c r="AK50" s="95">
        <f t="shared" si="74"/>
        <v>52.841071103107041</v>
      </c>
      <c r="AL50" s="95">
        <f t="shared" si="74"/>
        <v>59.055945157495628</v>
      </c>
      <c r="AM50" s="95">
        <f>AM48-AM41</f>
        <v>66.204459982441165</v>
      </c>
      <c r="AN50" s="95">
        <f t="shared" ref="AN50:AQ50" si="75">AN48-AN41</f>
        <v>74.016595332993887</v>
      </c>
      <c r="AO50" s="95">
        <f t="shared" si="75"/>
        <v>82.30359802468962</v>
      </c>
      <c r="AP50" s="95">
        <f t="shared" si="75"/>
        <v>90.9357361598355</v>
      </c>
      <c r="AQ50" s="95">
        <f t="shared" si="75"/>
        <v>99.82351413395908</v>
      </c>
      <c r="AR50" s="96" t="s">
        <v>8</v>
      </c>
      <c r="AT50" s="94"/>
      <c r="AU50" s="89"/>
      <c r="AV50" s="61"/>
      <c r="AW50" s="71" t="s">
        <v>49</v>
      </c>
      <c r="AX50" s="95">
        <f t="shared" ref="AX50:BA50" si="76">AX48-AX41</f>
        <v>26.204459982441165</v>
      </c>
      <c r="AY50" s="95">
        <f t="shared" si="76"/>
        <v>36.204459982441165</v>
      </c>
      <c r="AZ50" s="95">
        <f t="shared" si="76"/>
        <v>46.204459982441165</v>
      </c>
      <c r="BA50" s="95">
        <f t="shared" si="76"/>
        <v>56.204459982441165</v>
      </c>
      <c r="BB50" s="95">
        <f>BB48-BB41</f>
        <v>66.204459982441165</v>
      </c>
      <c r="BC50" s="95">
        <f t="shared" ref="BC50:BF50" si="77">BC48-BC41</f>
        <v>76.204459982441165</v>
      </c>
      <c r="BD50" s="95">
        <f t="shared" si="77"/>
        <v>86.204459982441165</v>
      </c>
      <c r="BE50" s="95">
        <f t="shared" si="77"/>
        <v>96.204459982441165</v>
      </c>
      <c r="BF50" s="95">
        <f t="shared" si="77"/>
        <v>106.20445998244116</v>
      </c>
      <c r="BG50" s="96" t="s">
        <v>8</v>
      </c>
      <c r="BI50" s="94"/>
      <c r="BJ50" s="89"/>
      <c r="BK50" s="61"/>
      <c r="BL50" s="71" t="s">
        <v>49</v>
      </c>
      <c r="BM50" s="95">
        <f t="shared" ref="BM50:BP50" si="78">BM48-BM41</f>
        <v>81.085965139715569</v>
      </c>
      <c r="BN50" s="95">
        <f t="shared" si="78"/>
        <v>86.39664438919354</v>
      </c>
      <c r="BO50" s="95">
        <f t="shared" si="78"/>
        <v>95.67563211594873</v>
      </c>
      <c r="BP50" s="95">
        <f t="shared" si="78"/>
        <v>107.90399899846143</v>
      </c>
      <c r="BQ50" s="95">
        <f>BQ48-BQ41</f>
        <v>122.19950662311842</v>
      </c>
      <c r="BR50" s="95">
        <f t="shared" ref="BR50:BU50" si="79">BR48-BR41</f>
        <v>137.920868029487</v>
      </c>
      <c r="BS50" s="95">
        <f t="shared" si="79"/>
        <v>154.63380050002252</v>
      </c>
      <c r="BT50" s="95">
        <f t="shared" si="79"/>
        <v>172.04958202842101</v>
      </c>
      <c r="BU50" s="95">
        <f t="shared" si="79"/>
        <v>189.97501176530551</v>
      </c>
      <c r="BV50" s="96" t="s">
        <v>1</v>
      </c>
      <c r="BX50" s="94"/>
      <c r="BY50" s="89"/>
      <c r="BZ50" s="61"/>
      <c r="CA50" s="71" t="s">
        <v>49</v>
      </c>
      <c r="CB50" s="95">
        <f t="shared" ref="CB50:CE50" si="80">CB48-CB41</f>
        <v>42.199506623118424</v>
      </c>
      <c r="CC50" s="95">
        <f t="shared" si="80"/>
        <v>62.199506623118424</v>
      </c>
      <c r="CD50" s="95">
        <f t="shared" si="80"/>
        <v>82.199506623118424</v>
      </c>
      <c r="CE50" s="95">
        <f t="shared" si="80"/>
        <v>102.19950662311842</v>
      </c>
      <c r="CF50" s="95">
        <f>CF48-CF41</f>
        <v>122.19950662311842</v>
      </c>
      <c r="CG50" s="95">
        <f t="shared" ref="CG50:CJ50" si="81">CG48-CG41</f>
        <v>142.19950662311842</v>
      </c>
      <c r="CH50" s="95">
        <f t="shared" si="81"/>
        <v>162.19950662311842</v>
      </c>
      <c r="CI50" s="95">
        <f t="shared" si="81"/>
        <v>182.19950662311842</v>
      </c>
      <c r="CJ50" s="95">
        <f t="shared" si="81"/>
        <v>202.19950662311842</v>
      </c>
      <c r="CK50" s="96" t="s">
        <v>1</v>
      </c>
      <c r="CL50" s="194"/>
      <c r="CM50" s="197">
        <v>47</v>
      </c>
      <c r="CN50" s="197">
        <f t="shared" si="0"/>
        <v>-1.0840292153439455</v>
      </c>
      <c r="CO50" s="197">
        <f t="shared" si="1"/>
        <v>25.361536801208722</v>
      </c>
      <c r="CP50" s="197">
        <f t="shared" si="2"/>
        <v>-2.1058197578449191</v>
      </c>
    </row>
    <row r="51" spans="1:94" ht="15.5" x14ac:dyDescent="0.35">
      <c r="A51" s="24" t="s">
        <v>98</v>
      </c>
      <c r="B51" s="31">
        <f>IF(Method="N",cN*SqrRtRatio,-W3Rprimem-aNprime*(V3Rprime/100)^2-bNprime*V3Rprime/100)</f>
        <v>2.6735110471594705</v>
      </c>
      <c r="C51" s="11"/>
      <c r="D51" s="12"/>
      <c r="E51" s="12"/>
      <c r="F51" s="12"/>
      <c r="G51" s="12"/>
      <c r="H51" s="12"/>
      <c r="I51" s="13"/>
      <c r="AE51" s="84"/>
      <c r="AF51" s="89"/>
      <c r="AG51" s="61"/>
      <c r="AH51" s="71" t="s">
        <v>42</v>
      </c>
      <c r="AI51" s="95">
        <f t="shared" ref="AI51" si="82">-AI50/AI52</f>
        <v>14.272710762646767</v>
      </c>
      <c r="AJ51" s="95">
        <f t="shared" ref="AJ51" si="83">-AJ50/AJ52</f>
        <v>19.732120469548523</v>
      </c>
      <c r="AK51" s="95">
        <f t="shared" ref="AK51" si="84">-AK50/AK52</f>
        <v>26.402018611634457</v>
      </c>
      <c r="AL51" s="95">
        <f t="shared" ref="AL51" si="85">-AL50/AL52</f>
        <v>33.973640863518341</v>
      </c>
      <c r="AM51" s="95">
        <f>-AM50/AM52</f>
        <v>42.138098452489494</v>
      </c>
      <c r="AN51" s="95">
        <f t="shared" ref="AN51" si="86">-AN50/AN52</f>
        <v>50.662592104670715</v>
      </c>
      <c r="AO51" s="95">
        <f t="shared" ref="AO51" si="87">-AO50/AO52</f>
        <v>59.395451798989022</v>
      </c>
      <c r="AP51" s="95">
        <f t="shared" ref="AP51" si="88">-AP50/AP52</f>
        <v>68.244956755163741</v>
      </c>
      <c r="AQ51" s="95">
        <f t="shared" ref="AQ51" si="89">-AQ50/AQ52</f>
        <v>77.157601340954869</v>
      </c>
      <c r="AR51" s="96"/>
      <c r="AT51" s="84"/>
      <c r="AU51" s="89"/>
      <c r="AV51" s="61"/>
      <c r="AW51" s="71" t="s">
        <v>42</v>
      </c>
      <c r="AX51" s="95">
        <f t="shared" ref="AX51:BA51" si="90">-AX50/AX52</f>
        <v>16.678727006115388</v>
      </c>
      <c r="AY51" s="95">
        <f t="shared" si="90"/>
        <v>23.043569867708914</v>
      </c>
      <c r="AZ51" s="95">
        <f t="shared" si="90"/>
        <v>29.408412729302441</v>
      </c>
      <c r="BA51" s="95">
        <f t="shared" si="90"/>
        <v>35.773255590895971</v>
      </c>
      <c r="BB51" s="95">
        <f>-BB50/BB52</f>
        <v>42.138098452489494</v>
      </c>
      <c r="BC51" s="95">
        <f t="shared" ref="BC51:BF51" si="91">-BC50/BC52</f>
        <v>48.502941314083024</v>
      </c>
      <c r="BD51" s="95">
        <f t="shared" si="91"/>
        <v>54.867784175676547</v>
      </c>
      <c r="BE51" s="95">
        <f t="shared" si="91"/>
        <v>61.232627037270078</v>
      </c>
      <c r="BF51" s="95">
        <f t="shared" si="91"/>
        <v>67.597469898863608</v>
      </c>
      <c r="BG51" s="96"/>
      <c r="BI51" s="84"/>
      <c r="BJ51" s="89"/>
      <c r="BK51" s="61"/>
      <c r="BL51" s="71" t="s">
        <v>42</v>
      </c>
      <c r="BM51" s="95">
        <f>-BM50/BM52/MpsToKph</f>
        <v>12.894655619433797</v>
      </c>
      <c r="BN51" s="95">
        <f>-BN50/BN52/MpsToKph</f>
        <v>18.428972471909333</v>
      </c>
      <c r="BO51" s="95">
        <f>-BO50/BO52/MpsToKph</f>
        <v>25.436130149048704</v>
      </c>
      <c r="BP51" s="95">
        <f>-BP50/BP52/MpsToKph</f>
        <v>33.542466791039899</v>
      </c>
      <c r="BQ51" s="95">
        <f>-BQ50/BQ52/MpsToKph</f>
        <v>42.351428042464988</v>
      </c>
      <c r="BR51" s="95">
        <f>-BR50/BR52/MpsToKph</f>
        <v>51.568723621997634</v>
      </c>
      <c r="BS51" s="95">
        <f>-BS50/BS52/MpsToKph</f>
        <v>61.010723818075391</v>
      </c>
      <c r="BT51" s="95">
        <f>-BT50/BT52/MpsToKph</f>
        <v>70.572006536503878</v>
      </c>
      <c r="BU51" s="95">
        <f>-BU50/BU52/MpsToKph</f>
        <v>80.194239184528271</v>
      </c>
      <c r="BV51" s="96"/>
      <c r="BX51" s="84"/>
      <c r="BY51" s="89"/>
      <c r="BZ51" s="61"/>
      <c r="CA51" s="71" t="s">
        <v>42</v>
      </c>
      <c r="CB51" s="95">
        <f>-CB50/CB52/MpsToKph</f>
        <v>14.62534029444608</v>
      </c>
      <c r="CC51" s="95">
        <f>-CC50/CC52/MpsToKph</f>
        <v>21.556862231450804</v>
      </c>
      <c r="CD51" s="95">
        <f>-CD50/CD52/MpsToKph</f>
        <v>28.488384168455532</v>
      </c>
      <c r="CE51" s="95">
        <f>-CE50/CE52/MpsToKph</f>
        <v>35.419906105460257</v>
      </c>
      <c r="CF51" s="95">
        <f>-CF50/CF52/MpsToKph</f>
        <v>42.351428042464988</v>
      </c>
      <c r="CG51" s="95">
        <f>-CG50/CG52/MpsToKph</f>
        <v>49.282949979469713</v>
      </c>
      <c r="CH51" s="95">
        <f>-CH50/CH52/MpsToKph</f>
        <v>56.21447191647443</v>
      </c>
      <c r="CI51" s="95">
        <f>-CI50/CI52/MpsToKph</f>
        <v>63.145993853479155</v>
      </c>
      <c r="CJ51" s="95">
        <f>-CJ50/CJ52/MpsToKph</f>
        <v>70.077515790483886</v>
      </c>
      <c r="CK51" s="96"/>
      <c r="CL51" s="194"/>
      <c r="CM51" s="197">
        <v>48</v>
      </c>
      <c r="CN51" s="197">
        <f t="shared" si="0"/>
        <v>-1.0620186524841355</v>
      </c>
      <c r="CO51" s="197">
        <f t="shared" si="1"/>
        <v>25.901143967191885</v>
      </c>
      <c r="CP51" s="197">
        <f t="shared" si="2"/>
        <v>-2.0630623510376038</v>
      </c>
    </row>
    <row r="52" spans="1:94" ht="16" thickBot="1" x14ac:dyDescent="0.4">
      <c r="AE52" s="97"/>
      <c r="AF52" s="64"/>
      <c r="AG52" s="65"/>
      <c r="AH52" s="98" t="s">
        <v>43</v>
      </c>
      <c r="AI52" s="191">
        <f t="shared" ref="AI52:AQ52" si="92">KphToKts*(aRprime*(AI48*KtsToKph)^2+bRprime*AI48*KtsToKph+cRprime)</f>
        <v>-3.1343866569507726</v>
      </c>
      <c r="AJ52" s="191">
        <f t="shared" si="92"/>
        <v>-2.4287531757431857</v>
      </c>
      <c r="AK52" s="191">
        <f t="shared" si="92"/>
        <v>-2.0014026912253522</v>
      </c>
      <c r="AL52" s="191">
        <f t="shared" si="92"/>
        <v>-1.7382872031508179</v>
      </c>
      <c r="AM52" s="191">
        <f t="shared" si="92"/>
        <v>-1.571130696775185</v>
      </c>
      <c r="AN52" s="191">
        <f t="shared" si="92"/>
        <v>-1.4609713450917192</v>
      </c>
      <c r="AO52" s="191">
        <f t="shared" si="92"/>
        <v>-1.3856885591716388</v>
      </c>
      <c r="AP52" s="191">
        <f t="shared" si="92"/>
        <v>-1.3324902012331463</v>
      </c>
      <c r="AQ52" s="191">
        <f t="shared" si="92"/>
        <v>-1.2937612419137408</v>
      </c>
      <c r="AR52" s="99" t="s">
        <v>8</v>
      </c>
      <c r="AT52" s="97"/>
      <c r="AU52" s="64"/>
      <c r="AV52" s="65"/>
      <c r="AW52" s="98" t="s">
        <v>43</v>
      </c>
      <c r="AX52" s="191">
        <f t="shared" ref="AX52:BF52" si="93">KphToKts*(aRprime*(AX48*KtsToKph)^2+bRprime*AX48*KtsToKph+cRprime)</f>
        <v>-1.571130696775185</v>
      </c>
      <c r="AY52" s="191">
        <f t="shared" si="93"/>
        <v>-1.571130696775185</v>
      </c>
      <c r="AZ52" s="191">
        <f t="shared" si="93"/>
        <v>-1.571130696775185</v>
      </c>
      <c r="BA52" s="191">
        <f t="shared" si="93"/>
        <v>-1.571130696775185</v>
      </c>
      <c r="BB52" s="191">
        <f t="shared" si="93"/>
        <v>-1.571130696775185</v>
      </c>
      <c r="BC52" s="191">
        <f t="shared" si="93"/>
        <v>-1.571130696775185</v>
      </c>
      <c r="BD52" s="191">
        <f t="shared" si="93"/>
        <v>-1.571130696775185</v>
      </c>
      <c r="BE52" s="191">
        <f t="shared" si="93"/>
        <v>-1.571130696775185</v>
      </c>
      <c r="BF52" s="191">
        <f t="shared" si="93"/>
        <v>-1.571130696775185</v>
      </c>
      <c r="BG52" s="99" t="s">
        <v>8</v>
      </c>
      <c r="BI52" s="97"/>
      <c r="BJ52" s="64"/>
      <c r="BK52" s="65"/>
      <c r="BL52" s="98" t="s">
        <v>43</v>
      </c>
      <c r="BM52" s="191">
        <f>KphToMps*(aRprime*BM48^2+bRprime*BM48+cRprime)</f>
        <v>-1.7467608186084747</v>
      </c>
      <c r="BN52" s="191">
        <f>KphToMps*(aRprime*BN48^2+bRprime*BN48+cRprime)</f>
        <v>-1.3022466620137434</v>
      </c>
      <c r="BO52" s="191">
        <f>KphToMps*(aRprime*BO48^2+bRprime*BO48+cRprime)</f>
        <v>-1.0448352135690882</v>
      </c>
      <c r="BP52" s="191">
        <f>KphToMps*(aRprime*BP48^2+bRprime*BP48+cRprime)</f>
        <v>-0.89359358218504259</v>
      </c>
      <c r="BQ52" s="191">
        <f>KphToMps*(aRprime*BQ48^2+bRprime*BQ48+cRprime)</f>
        <v>-0.80149144820513141</v>
      </c>
      <c r="BR52" s="191">
        <f>KphToMps*(aRprime*BR48^2+bRprime*BR48+cRprime)</f>
        <v>-0.74291837260192739</v>
      </c>
      <c r="BS52" s="191">
        <f>KphToMps*(aRprime*BS48^2+bRprime*BS48+cRprime)</f>
        <v>-0.70403743447316269</v>
      </c>
      <c r="BT52" s="191">
        <f>KphToMps*(aRprime*BT48^2+bRprime*BT48+cRprime)</f>
        <v>-0.67720266021811004</v>
      </c>
      <c r="BU52" s="191">
        <f>KphToMps*(aRprime*BU48^2+bRprime*BU48+cRprime)</f>
        <v>-0.65803774857252761</v>
      </c>
      <c r="BV52" s="99" t="s">
        <v>0</v>
      </c>
      <c r="BX52" s="97"/>
      <c r="BY52" s="64"/>
      <c r="BZ52" s="65"/>
      <c r="CA52" s="98" t="s">
        <v>43</v>
      </c>
      <c r="CB52" s="191">
        <f>KphToMps*(aRprime*CB48^2+bRprime*CB48+cRprime)</f>
        <v>-0.80149144820513141</v>
      </c>
      <c r="CC52" s="191">
        <f>KphToMps*(aRprime*CC48^2+bRprime*CC48+cRprime)</f>
        <v>-0.80149144820513141</v>
      </c>
      <c r="CD52" s="191">
        <f>KphToMps*(aRprime*CD48^2+bRprime*CD48+cRprime)</f>
        <v>-0.80149144820513141</v>
      </c>
      <c r="CE52" s="191">
        <f>KphToMps*(aRprime*CE48^2+bRprime*CE48+cRprime)</f>
        <v>-0.80149144820513141</v>
      </c>
      <c r="CF52" s="191">
        <f>KphToMps*(aRprime*CF48^2+bRprime*CF48+cRprime)</f>
        <v>-0.80149144820513141</v>
      </c>
      <c r="CG52" s="191">
        <f>KphToMps*(aRprime*CG48^2+bRprime*CG48+cRprime)</f>
        <v>-0.80149144820513141</v>
      </c>
      <c r="CH52" s="191">
        <f>KphToMps*(aRprime*CH48^2+bRprime*CH48+cRprime)</f>
        <v>-0.80149144820513141</v>
      </c>
      <c r="CI52" s="191">
        <f>KphToMps*(aRprime*CI48^2+bRprime*CI48+cRprime)</f>
        <v>-0.80149144820513141</v>
      </c>
      <c r="CJ52" s="191">
        <f>KphToMps*(aRprime*CJ48^2+bRprime*CJ48+cRprime)</f>
        <v>-0.80149144820513141</v>
      </c>
      <c r="CK52" s="99" t="s">
        <v>0</v>
      </c>
      <c r="CL52" s="194"/>
      <c r="CM52" s="197">
        <v>49</v>
      </c>
      <c r="CN52" s="197">
        <f t="shared" si="0"/>
        <v>-1.0405000979376275</v>
      </c>
      <c r="CO52" s="197">
        <f t="shared" si="1"/>
        <v>26.440751133175048</v>
      </c>
      <c r="CP52" s="197">
        <f t="shared" si="2"/>
        <v>-2.0212607125919808</v>
      </c>
    </row>
    <row r="53" spans="1:94" ht="16" thickTop="1" x14ac:dyDescent="0.35">
      <c r="A53" s="147" t="s">
        <v>115</v>
      </c>
      <c r="B53" s="148"/>
      <c r="C53" s="148"/>
      <c r="D53" s="148"/>
      <c r="E53" s="148"/>
      <c r="F53" s="148"/>
      <c r="G53" s="148"/>
      <c r="H53" s="148"/>
      <c r="I53" s="149"/>
      <c r="AE53" s="66" t="s">
        <v>16</v>
      </c>
      <c r="AF53" s="67"/>
      <c r="AG53" s="68"/>
      <c r="AH53" s="69"/>
      <c r="AI53" s="45" t="s">
        <v>34</v>
      </c>
      <c r="AJ53" s="51"/>
      <c r="AK53" s="51"/>
      <c r="AL53" s="51"/>
      <c r="AM53" s="70" t="s">
        <v>35</v>
      </c>
      <c r="AN53" s="51"/>
      <c r="AO53" s="51"/>
      <c r="AP53" s="51"/>
      <c r="AQ53" s="71" t="s">
        <v>36</v>
      </c>
      <c r="AR53" s="72" t="s">
        <v>37</v>
      </c>
      <c r="AT53" s="66" t="s">
        <v>16</v>
      </c>
      <c r="AU53" s="67"/>
      <c r="AV53" s="68"/>
      <c r="AW53" s="69"/>
      <c r="AX53" s="45" t="s">
        <v>34</v>
      </c>
      <c r="AY53" s="51"/>
      <c r="AZ53" s="51"/>
      <c r="BA53" s="51"/>
      <c r="BB53" s="70" t="s">
        <v>35</v>
      </c>
      <c r="BC53" s="51"/>
      <c r="BD53" s="51"/>
      <c r="BE53" s="51"/>
      <c r="BF53" s="71" t="s">
        <v>36</v>
      </c>
      <c r="BG53" s="72" t="s">
        <v>37</v>
      </c>
      <c r="BI53" s="66" t="s">
        <v>16</v>
      </c>
      <c r="BJ53" s="67"/>
      <c r="BK53" s="68"/>
      <c r="BL53" s="69"/>
      <c r="BM53" s="45" t="s">
        <v>34</v>
      </c>
      <c r="BN53" s="51"/>
      <c r="BO53" s="51"/>
      <c r="BP53" s="51"/>
      <c r="BQ53" s="70" t="s">
        <v>35</v>
      </c>
      <c r="BR53" s="51"/>
      <c r="BS53" s="51"/>
      <c r="BT53" s="51"/>
      <c r="BU53" s="71" t="s">
        <v>36</v>
      </c>
      <c r="BV53" s="72" t="s">
        <v>37</v>
      </c>
      <c r="BX53" s="66" t="s">
        <v>16</v>
      </c>
      <c r="BY53" s="67"/>
      <c r="BZ53" s="68"/>
      <c r="CA53" s="69"/>
      <c r="CB53" s="45" t="s">
        <v>34</v>
      </c>
      <c r="CC53" s="51"/>
      <c r="CD53" s="51"/>
      <c r="CE53" s="51"/>
      <c r="CF53" s="70" t="s">
        <v>35</v>
      </c>
      <c r="CG53" s="51"/>
      <c r="CH53" s="51"/>
      <c r="CI53" s="51"/>
      <c r="CJ53" s="71" t="s">
        <v>36</v>
      </c>
      <c r="CK53" s="72" t="s">
        <v>37</v>
      </c>
      <c r="CL53" s="193"/>
      <c r="CM53" s="197">
        <v>50</v>
      </c>
      <c r="CN53" s="197">
        <f t="shared" si="0"/>
        <v>-1.0194735517044216</v>
      </c>
      <c r="CO53" s="197">
        <f t="shared" si="1"/>
        <v>26.980358299158212</v>
      </c>
      <c r="CP53" s="197">
        <f t="shared" si="2"/>
        <v>-1.9804148425080499</v>
      </c>
    </row>
    <row r="54" spans="1:94" ht="15.5" x14ac:dyDescent="0.35">
      <c r="A54" s="150" t="s">
        <v>20</v>
      </c>
      <c r="B54" s="151"/>
      <c r="C54" s="151"/>
      <c r="D54" s="151"/>
      <c r="E54" s="151"/>
      <c r="F54" s="151"/>
      <c r="G54" s="151"/>
      <c r="H54" s="151"/>
      <c r="I54" s="152"/>
      <c r="AE54" s="73" t="s">
        <v>8</v>
      </c>
      <c r="AF54" s="74"/>
      <c r="AG54" s="75"/>
      <c r="AH54" s="76"/>
      <c r="AI54" s="77">
        <v>40</v>
      </c>
      <c r="AJ54" s="78">
        <v>30</v>
      </c>
      <c r="AK54" s="78">
        <v>20</v>
      </c>
      <c r="AL54" s="78">
        <v>10</v>
      </c>
      <c r="AM54" s="78">
        <v>0</v>
      </c>
      <c r="AN54" s="78">
        <v>-10</v>
      </c>
      <c r="AO54" s="78">
        <v>-20</v>
      </c>
      <c r="AP54" s="78">
        <v>-30</v>
      </c>
      <c r="AQ54" s="79">
        <v>-40</v>
      </c>
      <c r="AR54" s="80" t="s">
        <v>8</v>
      </c>
      <c r="AT54" s="73" t="s">
        <v>8</v>
      </c>
      <c r="AU54" s="74"/>
      <c r="AV54" s="75"/>
      <c r="AW54" s="76"/>
      <c r="AX54" s="77">
        <v>40</v>
      </c>
      <c r="AY54" s="78">
        <v>30</v>
      </c>
      <c r="AZ54" s="78">
        <v>20</v>
      </c>
      <c r="BA54" s="78">
        <v>10</v>
      </c>
      <c r="BB54" s="78">
        <v>0</v>
      </c>
      <c r="BC54" s="78">
        <v>-10</v>
      </c>
      <c r="BD54" s="78">
        <v>-20</v>
      </c>
      <c r="BE54" s="78">
        <v>-30</v>
      </c>
      <c r="BF54" s="79">
        <v>-40</v>
      </c>
      <c r="BG54" s="80" t="s">
        <v>8</v>
      </c>
      <c r="BI54" s="73" t="s">
        <v>0</v>
      </c>
      <c r="BJ54" s="74"/>
      <c r="BK54" s="75"/>
      <c r="BL54" s="76"/>
      <c r="BM54" s="77">
        <v>80</v>
      </c>
      <c r="BN54" s="78">
        <v>60</v>
      </c>
      <c r="BO54" s="78">
        <v>40</v>
      </c>
      <c r="BP54" s="78">
        <v>20</v>
      </c>
      <c r="BQ54" s="78">
        <v>0</v>
      </c>
      <c r="BR54" s="78">
        <v>-20</v>
      </c>
      <c r="BS54" s="78">
        <v>-40</v>
      </c>
      <c r="BT54" s="78">
        <v>-60</v>
      </c>
      <c r="BU54" s="79">
        <v>-80</v>
      </c>
      <c r="BV54" s="80" t="s">
        <v>1</v>
      </c>
      <c r="BX54" s="73" t="s">
        <v>0</v>
      </c>
      <c r="BY54" s="74"/>
      <c r="BZ54" s="75"/>
      <c r="CA54" s="76"/>
      <c r="CB54" s="77">
        <v>80</v>
      </c>
      <c r="CC54" s="78">
        <v>60</v>
      </c>
      <c r="CD54" s="78">
        <v>40</v>
      </c>
      <c r="CE54" s="78">
        <v>20</v>
      </c>
      <c r="CF54" s="78">
        <v>0</v>
      </c>
      <c r="CG54" s="78">
        <v>-20</v>
      </c>
      <c r="CH54" s="78">
        <v>-40</v>
      </c>
      <c r="CI54" s="78">
        <v>-60</v>
      </c>
      <c r="CJ54" s="79">
        <v>-80</v>
      </c>
      <c r="CK54" s="80" t="s">
        <v>1</v>
      </c>
      <c r="CL54" s="193"/>
      <c r="CM54" s="197">
        <v>51</v>
      </c>
      <c r="CN54" s="197">
        <f t="shared" si="0"/>
        <v>-0.99893901378451666</v>
      </c>
      <c r="CO54" s="197">
        <f t="shared" si="1"/>
        <v>27.519965465141379</v>
      </c>
      <c r="CP54" s="197">
        <f t="shared" si="2"/>
        <v>-1.9405247407858084</v>
      </c>
    </row>
    <row r="55" spans="1:94" ht="16" thickBot="1" x14ac:dyDescent="0.4">
      <c r="A55" s="150" t="s">
        <v>21</v>
      </c>
      <c r="B55" s="151"/>
      <c r="C55" s="151"/>
      <c r="D55" s="151"/>
      <c r="E55" s="151"/>
      <c r="F55" s="151"/>
      <c r="G55" s="151"/>
      <c r="H55" s="151"/>
      <c r="I55" s="152"/>
      <c r="AE55" s="66">
        <v>3</v>
      </c>
      <c r="AF55" s="81" t="s">
        <v>38</v>
      </c>
      <c r="AG55" s="60">
        <v>5</v>
      </c>
      <c r="AH55" s="71" t="s">
        <v>39</v>
      </c>
      <c r="AI55" s="82">
        <f t="shared" ref="AI55:AQ60" si="94">ROUND($AG55*SmiToFt/AI$64+$AI$11+$AI$12,-2)</f>
        <v>4000</v>
      </c>
      <c r="AJ55" s="82">
        <f t="shared" si="94"/>
        <v>3400</v>
      </c>
      <c r="AK55" s="82">
        <f t="shared" si="94"/>
        <v>3000</v>
      </c>
      <c r="AL55" s="82">
        <f t="shared" si="94"/>
        <v>2800</v>
      </c>
      <c r="AM55" s="83">
        <f t="shared" si="94"/>
        <v>2600</v>
      </c>
      <c r="AN55" s="82">
        <f t="shared" si="94"/>
        <v>2500</v>
      </c>
      <c r="AO55" s="82">
        <f t="shared" si="94"/>
        <v>2400</v>
      </c>
      <c r="AP55" s="82">
        <f t="shared" si="94"/>
        <v>2300</v>
      </c>
      <c r="AQ55" s="82">
        <f t="shared" si="94"/>
        <v>2300</v>
      </c>
      <c r="AR55" s="72" t="s">
        <v>33</v>
      </c>
      <c r="AT55" s="66">
        <v>3</v>
      </c>
      <c r="AU55" s="81" t="s">
        <v>38</v>
      </c>
      <c r="AV55" s="60">
        <v>5</v>
      </c>
      <c r="AW55" s="71" t="s">
        <v>39</v>
      </c>
      <c r="AX55" s="82">
        <f t="shared" ref="AX55:BF60" si="95">ROUND($AV55*SmiToFt/AX$64+$AX$11+$AX$12,-2)</f>
        <v>3500</v>
      </c>
      <c r="AY55" s="82">
        <f t="shared" si="95"/>
        <v>3100</v>
      </c>
      <c r="AZ55" s="82">
        <f t="shared" si="95"/>
        <v>2900</v>
      </c>
      <c r="BA55" s="82">
        <f t="shared" si="95"/>
        <v>2700</v>
      </c>
      <c r="BB55" s="83">
        <f t="shared" si="95"/>
        <v>2600</v>
      </c>
      <c r="BC55" s="82">
        <f t="shared" si="95"/>
        <v>2500</v>
      </c>
      <c r="BD55" s="82">
        <f t="shared" si="95"/>
        <v>2500</v>
      </c>
      <c r="BE55" s="82">
        <f t="shared" si="95"/>
        <v>2400</v>
      </c>
      <c r="BF55" s="82">
        <f t="shared" si="95"/>
        <v>2400</v>
      </c>
      <c r="BG55" s="72" t="s">
        <v>33</v>
      </c>
      <c r="BI55" s="66">
        <v>1.5</v>
      </c>
      <c r="BJ55" s="81" t="s">
        <v>38</v>
      </c>
      <c r="BK55" s="60">
        <v>10</v>
      </c>
      <c r="BL55" s="71" t="s">
        <v>170</v>
      </c>
      <c r="BM55" s="82">
        <f t="shared" ref="BM55:BU60" si="96">ROUND($BK55*1000/BM$64+$BM$11+$BM$12,-1)</f>
        <v>1420</v>
      </c>
      <c r="BN55" s="82">
        <f t="shared" si="96"/>
        <v>1180</v>
      </c>
      <c r="BO55" s="82">
        <f t="shared" si="96"/>
        <v>1020</v>
      </c>
      <c r="BP55" s="82">
        <f t="shared" si="96"/>
        <v>910</v>
      </c>
      <c r="BQ55" s="83">
        <f t="shared" si="96"/>
        <v>840</v>
      </c>
      <c r="BR55" s="82">
        <f t="shared" si="96"/>
        <v>790</v>
      </c>
      <c r="BS55" s="82">
        <f t="shared" si="96"/>
        <v>760</v>
      </c>
      <c r="BT55" s="82">
        <f t="shared" si="96"/>
        <v>730</v>
      </c>
      <c r="BU55" s="82">
        <f t="shared" si="96"/>
        <v>710</v>
      </c>
      <c r="BV55" s="72" t="s">
        <v>164</v>
      </c>
      <c r="BX55" s="66">
        <v>1.5</v>
      </c>
      <c r="BY55" s="81" t="s">
        <v>38</v>
      </c>
      <c r="BZ55" s="60">
        <v>10</v>
      </c>
      <c r="CA55" s="71" t="s">
        <v>170</v>
      </c>
      <c r="CB55" s="82">
        <f t="shared" ref="CB55:CJ60" si="97">ROUND($BZ55*1000/CB$64+$CB$11+$CB$12,-1)</f>
        <v>1250</v>
      </c>
      <c r="CC55" s="82">
        <f t="shared" si="97"/>
        <v>1060</v>
      </c>
      <c r="CD55" s="82">
        <f t="shared" si="97"/>
        <v>950</v>
      </c>
      <c r="CE55" s="82">
        <f t="shared" si="97"/>
        <v>890</v>
      </c>
      <c r="CF55" s="83">
        <f>ROUND($BZ55*1000/CF$64+$CB$11+$CB$12,-1)</f>
        <v>840</v>
      </c>
      <c r="CG55" s="82">
        <f t="shared" si="97"/>
        <v>800</v>
      </c>
      <c r="CH55" s="82">
        <f t="shared" si="97"/>
        <v>780</v>
      </c>
      <c r="CI55" s="82">
        <f t="shared" si="97"/>
        <v>760</v>
      </c>
      <c r="CJ55" s="82">
        <f t="shared" si="97"/>
        <v>740</v>
      </c>
      <c r="CK55" s="72" t="s">
        <v>164</v>
      </c>
      <c r="CL55" s="193"/>
      <c r="CM55" s="197">
        <v>52</v>
      </c>
      <c r="CN55" s="197">
        <f t="shared" si="0"/>
        <v>-0.97889648417791419</v>
      </c>
      <c r="CO55" s="197">
        <f t="shared" si="1"/>
        <v>28.059572631124542</v>
      </c>
      <c r="CP55" s="197">
        <f t="shared" si="2"/>
        <v>-1.9015904074252596</v>
      </c>
    </row>
    <row r="56" spans="1:94" ht="15.5" x14ac:dyDescent="0.35">
      <c r="A56" s="198" t="s">
        <v>16</v>
      </c>
      <c r="B56" s="181">
        <v>0</v>
      </c>
      <c r="C56" s="182" t="s">
        <v>8</v>
      </c>
      <c r="D56" s="183"/>
      <c r="E56" s="184">
        <f>B56*KtsToKph</f>
        <v>0</v>
      </c>
      <c r="F56" s="182" t="s">
        <v>1</v>
      </c>
      <c r="G56" s="183"/>
      <c r="H56" s="184">
        <f>B56*KtsToMps</f>
        <v>0</v>
      </c>
      <c r="I56" s="185" t="s">
        <v>0</v>
      </c>
      <c r="AE56" s="84"/>
      <c r="AF56" s="53"/>
      <c r="AG56" s="85">
        <v>10</v>
      </c>
      <c r="AH56" s="86" t="s">
        <v>39</v>
      </c>
      <c r="AI56" s="82">
        <f t="shared" si="94"/>
        <v>6000</v>
      </c>
      <c r="AJ56" s="82">
        <f t="shared" si="94"/>
        <v>4900</v>
      </c>
      <c r="AK56" s="82">
        <f t="shared" si="94"/>
        <v>4200</v>
      </c>
      <c r="AL56" s="82">
        <f t="shared" si="94"/>
        <v>3600</v>
      </c>
      <c r="AM56" s="83">
        <f t="shared" si="94"/>
        <v>3300</v>
      </c>
      <c r="AN56" s="82">
        <f t="shared" si="94"/>
        <v>3100</v>
      </c>
      <c r="AO56" s="82">
        <f t="shared" si="94"/>
        <v>2900</v>
      </c>
      <c r="AP56" s="82">
        <f t="shared" si="94"/>
        <v>2700</v>
      </c>
      <c r="AQ56" s="82">
        <f t="shared" si="94"/>
        <v>2600</v>
      </c>
      <c r="AR56" s="87" t="s">
        <v>33</v>
      </c>
      <c r="AT56" s="84"/>
      <c r="AU56" s="53"/>
      <c r="AV56" s="85">
        <v>10</v>
      </c>
      <c r="AW56" s="86" t="s">
        <v>39</v>
      </c>
      <c r="AX56" s="82">
        <f t="shared" si="95"/>
        <v>5100</v>
      </c>
      <c r="AY56" s="82">
        <f t="shared" si="95"/>
        <v>4300</v>
      </c>
      <c r="AZ56" s="82">
        <f t="shared" si="95"/>
        <v>3800</v>
      </c>
      <c r="BA56" s="82">
        <f t="shared" si="95"/>
        <v>3500</v>
      </c>
      <c r="BB56" s="83">
        <f t="shared" si="95"/>
        <v>3300</v>
      </c>
      <c r="BC56" s="82">
        <f t="shared" si="95"/>
        <v>3100</v>
      </c>
      <c r="BD56" s="82">
        <f t="shared" si="95"/>
        <v>3000</v>
      </c>
      <c r="BE56" s="82">
        <f t="shared" si="95"/>
        <v>2900</v>
      </c>
      <c r="BF56" s="82">
        <f t="shared" si="95"/>
        <v>2800</v>
      </c>
      <c r="BG56" s="87" t="s">
        <v>33</v>
      </c>
      <c r="BI56" s="84"/>
      <c r="BJ56" s="53"/>
      <c r="BK56" s="85">
        <v>20</v>
      </c>
      <c r="BL56" s="86" t="s">
        <v>170</v>
      </c>
      <c r="BM56" s="82">
        <f t="shared" si="96"/>
        <v>2270</v>
      </c>
      <c r="BN56" s="82">
        <f t="shared" si="96"/>
        <v>1780</v>
      </c>
      <c r="BO56" s="82">
        <f t="shared" si="96"/>
        <v>1460</v>
      </c>
      <c r="BP56" s="82">
        <f t="shared" si="96"/>
        <v>1240</v>
      </c>
      <c r="BQ56" s="83">
        <f t="shared" si="96"/>
        <v>1100</v>
      </c>
      <c r="BR56" s="82">
        <f t="shared" si="96"/>
        <v>1000</v>
      </c>
      <c r="BS56" s="82">
        <f t="shared" si="96"/>
        <v>930</v>
      </c>
      <c r="BT56" s="82">
        <f t="shared" si="96"/>
        <v>880</v>
      </c>
      <c r="BU56" s="82">
        <f t="shared" si="96"/>
        <v>840</v>
      </c>
      <c r="BV56" s="87" t="s">
        <v>164</v>
      </c>
      <c r="BX56" s="84"/>
      <c r="BY56" s="53"/>
      <c r="BZ56" s="85">
        <v>20</v>
      </c>
      <c r="CA56" s="86" t="s">
        <v>170</v>
      </c>
      <c r="CB56" s="82">
        <f t="shared" si="97"/>
        <v>1920</v>
      </c>
      <c r="CC56" s="82">
        <f t="shared" si="97"/>
        <v>1540</v>
      </c>
      <c r="CD56" s="82">
        <f t="shared" si="97"/>
        <v>1330</v>
      </c>
      <c r="CE56" s="82">
        <f t="shared" si="97"/>
        <v>1190</v>
      </c>
      <c r="CF56" s="83">
        <f t="shared" ref="CF56:CF60" si="98">ROUND($BZ56*1000/CF$64+$CB$11+$CB$12,-1)</f>
        <v>1100</v>
      </c>
      <c r="CG56" s="82">
        <f t="shared" si="97"/>
        <v>1030</v>
      </c>
      <c r="CH56" s="82">
        <f t="shared" si="97"/>
        <v>980</v>
      </c>
      <c r="CI56" s="82">
        <f t="shared" si="97"/>
        <v>930</v>
      </c>
      <c r="CJ56" s="82">
        <f t="shared" si="97"/>
        <v>900</v>
      </c>
      <c r="CK56" s="87" t="s">
        <v>164</v>
      </c>
      <c r="CL56" s="193"/>
      <c r="CM56" s="197">
        <v>53</v>
      </c>
      <c r="CN56" s="197">
        <f t="shared" si="0"/>
        <v>-0.9593459628846136</v>
      </c>
      <c r="CO56" s="197">
        <f t="shared" si="1"/>
        <v>28.599179797107706</v>
      </c>
      <c r="CP56" s="197">
        <f t="shared" si="2"/>
        <v>-1.8636118424264025</v>
      </c>
    </row>
    <row r="57" spans="1:94" ht="15.5" x14ac:dyDescent="0.35">
      <c r="A57" s="199" t="s">
        <v>119</v>
      </c>
      <c r="B57" s="27">
        <v>0</v>
      </c>
      <c r="C57" s="3" t="s">
        <v>8</v>
      </c>
      <c r="D57" s="9"/>
      <c r="E57" s="4">
        <f>B57*KtsToKph</f>
        <v>0</v>
      </c>
      <c r="F57" s="3" t="s">
        <v>1</v>
      </c>
      <c r="G57" s="9"/>
      <c r="H57" s="4">
        <f>B57*KtsToMps</f>
        <v>0</v>
      </c>
      <c r="I57" s="159" t="s">
        <v>0</v>
      </c>
      <c r="AE57" s="84"/>
      <c r="AF57" s="53"/>
      <c r="AG57" s="85">
        <v>20</v>
      </c>
      <c r="AH57" s="86" t="s">
        <v>39</v>
      </c>
      <c r="AI57" s="82">
        <f t="shared" si="94"/>
        <v>10000</v>
      </c>
      <c r="AJ57" s="82">
        <f t="shared" si="94"/>
        <v>7900</v>
      </c>
      <c r="AK57" s="82">
        <f t="shared" si="94"/>
        <v>6400</v>
      </c>
      <c r="AL57" s="82">
        <f t="shared" si="94"/>
        <v>5400</v>
      </c>
      <c r="AM57" s="83">
        <f t="shared" si="94"/>
        <v>4700</v>
      </c>
      <c r="AN57" s="82">
        <f t="shared" si="94"/>
        <v>4200</v>
      </c>
      <c r="AO57" s="82">
        <f t="shared" si="94"/>
        <v>3800</v>
      </c>
      <c r="AP57" s="82">
        <f t="shared" si="94"/>
        <v>3600</v>
      </c>
      <c r="AQ57" s="82">
        <f t="shared" si="94"/>
        <v>3400</v>
      </c>
      <c r="AR57" s="87" t="s">
        <v>33</v>
      </c>
      <c r="AT57" s="84"/>
      <c r="AU57" s="53"/>
      <c r="AV57" s="85">
        <v>20</v>
      </c>
      <c r="AW57" s="86" t="s">
        <v>39</v>
      </c>
      <c r="AX57" s="82">
        <f t="shared" si="95"/>
        <v>8300</v>
      </c>
      <c r="AY57" s="82">
        <f t="shared" si="95"/>
        <v>6700</v>
      </c>
      <c r="AZ57" s="82">
        <f t="shared" si="95"/>
        <v>5800</v>
      </c>
      <c r="BA57" s="82">
        <f t="shared" si="95"/>
        <v>5100</v>
      </c>
      <c r="BB57" s="83">
        <f t="shared" si="95"/>
        <v>4700</v>
      </c>
      <c r="BC57" s="82">
        <f t="shared" si="95"/>
        <v>4300</v>
      </c>
      <c r="BD57" s="82">
        <f t="shared" si="95"/>
        <v>4100</v>
      </c>
      <c r="BE57" s="82">
        <f t="shared" si="95"/>
        <v>3900</v>
      </c>
      <c r="BF57" s="82">
        <f t="shared" si="95"/>
        <v>3700</v>
      </c>
      <c r="BG57" s="87" t="s">
        <v>33</v>
      </c>
      <c r="BI57" s="84"/>
      <c r="BJ57" s="53"/>
      <c r="BK57" s="85">
        <v>30</v>
      </c>
      <c r="BL57" s="86" t="s">
        <v>170</v>
      </c>
      <c r="BM57" s="82">
        <f t="shared" si="96"/>
        <v>3110</v>
      </c>
      <c r="BN57" s="82">
        <f t="shared" si="96"/>
        <v>2380</v>
      </c>
      <c r="BO57" s="82">
        <f t="shared" si="96"/>
        <v>1890</v>
      </c>
      <c r="BP57" s="82">
        <f t="shared" si="96"/>
        <v>1570</v>
      </c>
      <c r="BQ57" s="83">
        <f t="shared" si="96"/>
        <v>1360</v>
      </c>
      <c r="BR57" s="82">
        <f t="shared" si="96"/>
        <v>1210</v>
      </c>
      <c r="BS57" s="82">
        <f t="shared" si="96"/>
        <v>1110</v>
      </c>
      <c r="BT57" s="82">
        <f t="shared" si="96"/>
        <v>1030</v>
      </c>
      <c r="BU57" s="82">
        <f t="shared" si="96"/>
        <v>970</v>
      </c>
      <c r="BV57" s="87" t="s">
        <v>164</v>
      </c>
      <c r="BX57" s="84"/>
      <c r="BY57" s="53"/>
      <c r="BZ57" s="85">
        <v>30</v>
      </c>
      <c r="CA57" s="86" t="s">
        <v>170</v>
      </c>
      <c r="CB57" s="82">
        <f t="shared" si="97"/>
        <v>2590</v>
      </c>
      <c r="CC57" s="82">
        <f t="shared" si="97"/>
        <v>2020</v>
      </c>
      <c r="CD57" s="82">
        <f t="shared" si="97"/>
        <v>1700</v>
      </c>
      <c r="CE57" s="82">
        <f t="shared" si="97"/>
        <v>1500</v>
      </c>
      <c r="CF57" s="83">
        <f t="shared" si="98"/>
        <v>1360</v>
      </c>
      <c r="CG57" s="82">
        <f t="shared" si="97"/>
        <v>1250</v>
      </c>
      <c r="CH57" s="82">
        <f t="shared" si="97"/>
        <v>1170</v>
      </c>
      <c r="CI57" s="82">
        <f t="shared" si="97"/>
        <v>1110</v>
      </c>
      <c r="CJ57" s="82">
        <f t="shared" si="97"/>
        <v>1060</v>
      </c>
      <c r="CK57" s="87" t="s">
        <v>164</v>
      </c>
      <c r="CL57" s="193"/>
      <c r="CM57" s="197">
        <v>54</v>
      </c>
      <c r="CN57" s="197">
        <f t="shared" si="0"/>
        <v>-0.94028744990461444</v>
      </c>
      <c r="CO57" s="197">
        <f t="shared" si="1"/>
        <v>29.138786963090869</v>
      </c>
      <c r="CP57" s="197">
        <f t="shared" si="2"/>
        <v>-1.826589045789236</v>
      </c>
    </row>
    <row r="58" spans="1:94" ht="16" thickBot="1" x14ac:dyDescent="0.4">
      <c r="A58" s="200" t="s">
        <v>22</v>
      </c>
      <c r="B58" s="186">
        <v>0</v>
      </c>
      <c r="C58" s="187" t="s">
        <v>8</v>
      </c>
      <c r="D58" s="171"/>
      <c r="E58" s="188">
        <f>B58*KtsToKph</f>
        <v>0</v>
      </c>
      <c r="F58" s="187" t="s">
        <v>1</v>
      </c>
      <c r="G58" s="171"/>
      <c r="H58" s="188">
        <f>B58*KtsToMps</f>
        <v>0</v>
      </c>
      <c r="I58" s="189" t="s">
        <v>0</v>
      </c>
      <c r="AE58" s="84"/>
      <c r="AF58" s="53"/>
      <c r="AG58" s="85">
        <v>30</v>
      </c>
      <c r="AH58" s="86" t="s">
        <v>39</v>
      </c>
      <c r="AI58" s="82">
        <f t="shared" si="94"/>
        <v>14100</v>
      </c>
      <c r="AJ58" s="82">
        <f t="shared" si="94"/>
        <v>10900</v>
      </c>
      <c r="AK58" s="82">
        <f t="shared" si="94"/>
        <v>8600</v>
      </c>
      <c r="AL58" s="82">
        <f t="shared" si="94"/>
        <v>7100</v>
      </c>
      <c r="AM58" s="83">
        <f t="shared" si="94"/>
        <v>6100</v>
      </c>
      <c r="AN58" s="82">
        <f t="shared" si="94"/>
        <v>5300</v>
      </c>
      <c r="AO58" s="82">
        <f t="shared" si="94"/>
        <v>4800</v>
      </c>
      <c r="AP58" s="82">
        <f t="shared" si="94"/>
        <v>4400</v>
      </c>
      <c r="AQ58" s="82">
        <f t="shared" si="94"/>
        <v>4100</v>
      </c>
      <c r="AR58" s="87" t="s">
        <v>33</v>
      </c>
      <c r="AT58" s="84"/>
      <c r="AU58" s="53"/>
      <c r="AV58" s="85">
        <v>30</v>
      </c>
      <c r="AW58" s="86" t="s">
        <v>39</v>
      </c>
      <c r="AX58" s="82">
        <f t="shared" si="95"/>
        <v>11400</v>
      </c>
      <c r="AY58" s="82">
        <f t="shared" si="95"/>
        <v>9100</v>
      </c>
      <c r="AZ58" s="82">
        <f t="shared" si="95"/>
        <v>7700</v>
      </c>
      <c r="BA58" s="82">
        <f t="shared" si="95"/>
        <v>6700</v>
      </c>
      <c r="BB58" s="83">
        <f t="shared" si="95"/>
        <v>6100</v>
      </c>
      <c r="BC58" s="82">
        <f t="shared" si="95"/>
        <v>5500</v>
      </c>
      <c r="BD58" s="82">
        <f t="shared" si="95"/>
        <v>5100</v>
      </c>
      <c r="BE58" s="82">
        <f t="shared" si="95"/>
        <v>4800</v>
      </c>
      <c r="BF58" s="82">
        <f t="shared" si="95"/>
        <v>4600</v>
      </c>
      <c r="BG58" s="87" t="s">
        <v>33</v>
      </c>
      <c r="BI58" s="84"/>
      <c r="BJ58" s="53"/>
      <c r="BK58" s="85">
        <v>40</v>
      </c>
      <c r="BL58" s="86" t="s">
        <v>170</v>
      </c>
      <c r="BM58" s="82">
        <f t="shared" si="96"/>
        <v>3960</v>
      </c>
      <c r="BN58" s="82">
        <f t="shared" si="96"/>
        <v>2980</v>
      </c>
      <c r="BO58" s="82">
        <f t="shared" si="96"/>
        <v>2330</v>
      </c>
      <c r="BP58" s="82">
        <f t="shared" si="96"/>
        <v>1900</v>
      </c>
      <c r="BQ58" s="83">
        <f t="shared" si="96"/>
        <v>1610</v>
      </c>
      <c r="BR58" s="82">
        <f t="shared" si="96"/>
        <v>1420</v>
      </c>
      <c r="BS58" s="82">
        <f t="shared" si="96"/>
        <v>1280</v>
      </c>
      <c r="BT58" s="82">
        <f t="shared" si="96"/>
        <v>1180</v>
      </c>
      <c r="BU58" s="82">
        <f t="shared" si="96"/>
        <v>1100</v>
      </c>
      <c r="BV58" s="87" t="s">
        <v>164</v>
      </c>
      <c r="BX58" s="84"/>
      <c r="BY58" s="53"/>
      <c r="BZ58" s="85">
        <v>40</v>
      </c>
      <c r="CA58" s="86" t="s">
        <v>170</v>
      </c>
      <c r="CB58" s="82">
        <f t="shared" si="97"/>
        <v>3260</v>
      </c>
      <c r="CC58" s="82">
        <f t="shared" si="97"/>
        <v>2500</v>
      </c>
      <c r="CD58" s="82">
        <f t="shared" si="97"/>
        <v>2070</v>
      </c>
      <c r="CE58" s="82">
        <f t="shared" si="97"/>
        <v>1800</v>
      </c>
      <c r="CF58" s="83">
        <f t="shared" si="98"/>
        <v>1610</v>
      </c>
      <c r="CG58" s="82">
        <f t="shared" si="97"/>
        <v>1480</v>
      </c>
      <c r="CH58" s="82">
        <f t="shared" si="97"/>
        <v>1370</v>
      </c>
      <c r="CI58" s="82">
        <f t="shared" si="97"/>
        <v>1290</v>
      </c>
      <c r="CJ58" s="82">
        <f t="shared" si="97"/>
        <v>1220</v>
      </c>
      <c r="CK58" s="87" t="s">
        <v>164</v>
      </c>
      <c r="CL58" s="193"/>
      <c r="CM58" s="197">
        <v>55</v>
      </c>
      <c r="CN58" s="197">
        <f t="shared" si="0"/>
        <v>-0.92172094523791748</v>
      </c>
      <c r="CO58" s="197">
        <f t="shared" si="1"/>
        <v>29.678394129074036</v>
      </c>
      <c r="CP58" s="197">
        <f t="shared" si="2"/>
        <v>-1.7905220175137615</v>
      </c>
    </row>
    <row r="59" spans="1:94" ht="15.5" x14ac:dyDescent="0.35">
      <c r="A59" s="118" t="s">
        <v>113</v>
      </c>
      <c r="B59" s="180">
        <f>Vstf*KphToKts</f>
        <v>56.253231695391278</v>
      </c>
      <c r="C59" s="41" t="s">
        <v>8</v>
      </c>
      <c r="D59" s="16"/>
      <c r="E59" s="122">
        <f>(aRprime*HWind-SQRT(aRprime*(aRprime*HWind^2-MC+Wm+bRprime*HWind+cRprime)))/aRprime</f>
        <v>104.24848897789911</v>
      </c>
      <c r="F59" s="41" t="s">
        <v>1</v>
      </c>
      <c r="G59" s="16"/>
      <c r="H59" s="122">
        <f>Vstf*KphToMps</f>
        <v>28.957913604971978</v>
      </c>
      <c r="I59" s="41" t="s">
        <v>0</v>
      </c>
      <c r="AE59" s="84"/>
      <c r="AF59" s="53"/>
      <c r="AG59" s="85">
        <v>40</v>
      </c>
      <c r="AH59" s="86" t="s">
        <v>39</v>
      </c>
      <c r="AI59" s="82">
        <f t="shared" si="94"/>
        <v>18200</v>
      </c>
      <c r="AJ59" s="82">
        <f t="shared" si="94"/>
        <v>13800</v>
      </c>
      <c r="AK59" s="82">
        <f t="shared" si="94"/>
        <v>10800</v>
      </c>
      <c r="AL59" s="82">
        <f t="shared" si="94"/>
        <v>8800</v>
      </c>
      <c r="AM59" s="83">
        <f t="shared" si="94"/>
        <v>7400</v>
      </c>
      <c r="AN59" s="82">
        <f t="shared" si="94"/>
        <v>6500</v>
      </c>
      <c r="AO59" s="82">
        <f t="shared" si="94"/>
        <v>5700</v>
      </c>
      <c r="AP59" s="82">
        <f t="shared" si="94"/>
        <v>5200</v>
      </c>
      <c r="AQ59" s="82">
        <f t="shared" si="94"/>
        <v>4800</v>
      </c>
      <c r="AR59" s="87" t="s">
        <v>33</v>
      </c>
      <c r="AT59" s="84"/>
      <c r="AU59" s="53"/>
      <c r="AV59" s="85">
        <v>40</v>
      </c>
      <c r="AW59" s="86" t="s">
        <v>39</v>
      </c>
      <c r="AX59" s="82">
        <f t="shared" si="95"/>
        <v>14600</v>
      </c>
      <c r="AY59" s="82">
        <f t="shared" si="95"/>
        <v>11500</v>
      </c>
      <c r="AZ59" s="82">
        <f t="shared" si="95"/>
        <v>9600</v>
      </c>
      <c r="BA59" s="82">
        <f t="shared" si="95"/>
        <v>8300</v>
      </c>
      <c r="BB59" s="83">
        <f t="shared" si="95"/>
        <v>7400</v>
      </c>
      <c r="BC59" s="82">
        <f t="shared" si="95"/>
        <v>6700</v>
      </c>
      <c r="BD59" s="82">
        <f t="shared" si="95"/>
        <v>6200</v>
      </c>
      <c r="BE59" s="82">
        <f t="shared" si="95"/>
        <v>5800</v>
      </c>
      <c r="BF59" s="82">
        <f t="shared" si="95"/>
        <v>5400</v>
      </c>
      <c r="BG59" s="87" t="s">
        <v>33</v>
      </c>
      <c r="BI59" s="84"/>
      <c r="BJ59" s="53"/>
      <c r="BK59" s="85">
        <v>50</v>
      </c>
      <c r="BL59" s="86" t="s">
        <v>170</v>
      </c>
      <c r="BM59" s="82">
        <f t="shared" si="96"/>
        <v>4800</v>
      </c>
      <c r="BN59" s="82">
        <f t="shared" si="96"/>
        <v>3590</v>
      </c>
      <c r="BO59" s="82">
        <f t="shared" si="96"/>
        <v>2770</v>
      </c>
      <c r="BP59" s="82">
        <f t="shared" si="96"/>
        <v>2230</v>
      </c>
      <c r="BQ59" s="83">
        <f t="shared" si="96"/>
        <v>1870</v>
      </c>
      <c r="BR59" s="82">
        <f t="shared" si="96"/>
        <v>1630</v>
      </c>
      <c r="BS59" s="82">
        <f t="shared" si="96"/>
        <v>1460</v>
      </c>
      <c r="BT59" s="82">
        <f t="shared" si="96"/>
        <v>1330</v>
      </c>
      <c r="BU59" s="82">
        <f t="shared" si="96"/>
        <v>1240</v>
      </c>
      <c r="BV59" s="87" t="s">
        <v>164</v>
      </c>
      <c r="BX59" s="84"/>
      <c r="BY59" s="53"/>
      <c r="BZ59" s="85">
        <v>50</v>
      </c>
      <c r="CA59" s="86" t="s">
        <v>170</v>
      </c>
      <c r="CB59" s="82">
        <f t="shared" si="97"/>
        <v>3930</v>
      </c>
      <c r="CC59" s="82">
        <f t="shared" si="97"/>
        <v>2980</v>
      </c>
      <c r="CD59" s="82">
        <f t="shared" si="97"/>
        <v>2450</v>
      </c>
      <c r="CE59" s="82">
        <f t="shared" si="97"/>
        <v>2110</v>
      </c>
      <c r="CF59" s="83">
        <f t="shared" si="98"/>
        <v>1870</v>
      </c>
      <c r="CG59" s="82">
        <f t="shared" si="97"/>
        <v>1700</v>
      </c>
      <c r="CH59" s="82">
        <f t="shared" si="97"/>
        <v>1570</v>
      </c>
      <c r="CI59" s="82">
        <f t="shared" si="97"/>
        <v>1470</v>
      </c>
      <c r="CJ59" s="82">
        <f t="shared" si="97"/>
        <v>1380</v>
      </c>
      <c r="CK59" s="87" t="s">
        <v>164</v>
      </c>
      <c r="CL59" s="193"/>
      <c r="CM59" s="197">
        <v>56</v>
      </c>
      <c r="CN59" s="197">
        <f t="shared" si="0"/>
        <v>-0.90364644888452228</v>
      </c>
      <c r="CO59" s="197">
        <f t="shared" si="1"/>
        <v>30.218001295057199</v>
      </c>
      <c r="CP59" s="197">
        <f t="shared" si="2"/>
        <v>-1.7554107575999784</v>
      </c>
    </row>
    <row r="60" spans="1:94" ht="15.5" x14ac:dyDescent="0.35">
      <c r="A60" s="24" t="s">
        <v>116</v>
      </c>
      <c r="B60" s="130">
        <f>Wstf*KphToKts</f>
        <v>-1.1968772701147077</v>
      </c>
      <c r="C60" s="3" t="s">
        <v>8</v>
      </c>
      <c r="D60" s="16"/>
      <c r="E60" s="4">
        <f>aRprime*Vstf^2+bRprime*Vstf+cRprime</f>
        <v>-2.2180529569765763</v>
      </c>
      <c r="F60" s="41" t="s">
        <v>1</v>
      </c>
      <c r="G60" s="16"/>
      <c r="H60" s="4">
        <f>Wstf*KphToMps</f>
        <v>-0.61612582138238237</v>
      </c>
      <c r="I60" s="3" t="s">
        <v>0</v>
      </c>
      <c r="AE60" s="84"/>
      <c r="AF60" s="53"/>
      <c r="AG60" s="85">
        <v>50</v>
      </c>
      <c r="AH60" s="86" t="s">
        <v>39</v>
      </c>
      <c r="AI60" s="82">
        <f t="shared" si="94"/>
        <v>22200</v>
      </c>
      <c r="AJ60" s="82">
        <f t="shared" si="94"/>
        <v>16800</v>
      </c>
      <c r="AK60" s="82">
        <f t="shared" si="94"/>
        <v>13100</v>
      </c>
      <c r="AL60" s="82">
        <f t="shared" si="94"/>
        <v>10500</v>
      </c>
      <c r="AM60" s="83">
        <f t="shared" si="94"/>
        <v>8800</v>
      </c>
      <c r="AN60" s="82">
        <f t="shared" si="94"/>
        <v>7600</v>
      </c>
      <c r="AO60" s="82">
        <f t="shared" si="94"/>
        <v>6700</v>
      </c>
      <c r="AP60" s="82">
        <f t="shared" si="94"/>
        <v>6000</v>
      </c>
      <c r="AQ60" s="82">
        <f t="shared" si="94"/>
        <v>5500</v>
      </c>
      <c r="AR60" s="87" t="s">
        <v>33</v>
      </c>
      <c r="AT60" s="84"/>
      <c r="AU60" s="53"/>
      <c r="AV60" s="85">
        <v>50</v>
      </c>
      <c r="AW60" s="86" t="s">
        <v>39</v>
      </c>
      <c r="AX60" s="82">
        <f t="shared" si="95"/>
        <v>17800</v>
      </c>
      <c r="AY60" s="82">
        <f t="shared" si="95"/>
        <v>13900</v>
      </c>
      <c r="AZ60" s="82">
        <f t="shared" si="95"/>
        <v>11500</v>
      </c>
      <c r="BA60" s="82">
        <f t="shared" si="95"/>
        <v>9900</v>
      </c>
      <c r="BB60" s="83">
        <f t="shared" si="95"/>
        <v>8800</v>
      </c>
      <c r="BC60" s="82">
        <f t="shared" si="95"/>
        <v>8000</v>
      </c>
      <c r="BD60" s="82">
        <f t="shared" si="95"/>
        <v>7300</v>
      </c>
      <c r="BE60" s="82">
        <f t="shared" si="95"/>
        <v>6800</v>
      </c>
      <c r="BF60" s="82">
        <f t="shared" si="95"/>
        <v>6300</v>
      </c>
      <c r="BG60" s="87" t="s">
        <v>33</v>
      </c>
      <c r="BI60" s="84"/>
      <c r="BJ60" s="53"/>
      <c r="BK60" s="85">
        <v>100</v>
      </c>
      <c r="BL60" s="86" t="s">
        <v>170</v>
      </c>
      <c r="BM60" s="82">
        <f t="shared" si="96"/>
        <v>9030</v>
      </c>
      <c r="BN60" s="82">
        <f t="shared" si="96"/>
        <v>6590</v>
      </c>
      <c r="BO60" s="82">
        <f t="shared" si="96"/>
        <v>4960</v>
      </c>
      <c r="BP60" s="82">
        <f t="shared" si="96"/>
        <v>3880</v>
      </c>
      <c r="BQ60" s="83">
        <f t="shared" si="96"/>
        <v>3170</v>
      </c>
      <c r="BR60" s="82">
        <f t="shared" si="96"/>
        <v>2680</v>
      </c>
      <c r="BS60" s="82">
        <f t="shared" si="96"/>
        <v>2330</v>
      </c>
      <c r="BT60" s="82">
        <f t="shared" si="96"/>
        <v>2080</v>
      </c>
      <c r="BU60" s="82">
        <f t="shared" si="96"/>
        <v>1890</v>
      </c>
      <c r="BV60" s="87" t="s">
        <v>164</v>
      </c>
      <c r="BX60" s="84"/>
      <c r="BY60" s="53"/>
      <c r="BZ60" s="85">
        <v>100</v>
      </c>
      <c r="CA60" s="86" t="s">
        <v>170</v>
      </c>
      <c r="CB60" s="82">
        <f t="shared" si="97"/>
        <v>7290</v>
      </c>
      <c r="CC60" s="82">
        <f t="shared" si="97"/>
        <v>5380</v>
      </c>
      <c r="CD60" s="82">
        <f t="shared" si="97"/>
        <v>4310</v>
      </c>
      <c r="CE60" s="82">
        <f t="shared" si="97"/>
        <v>3640</v>
      </c>
      <c r="CF60" s="83">
        <f t="shared" si="98"/>
        <v>3170</v>
      </c>
      <c r="CG60" s="82">
        <f t="shared" si="97"/>
        <v>2820</v>
      </c>
      <c r="CH60" s="82">
        <f t="shared" si="97"/>
        <v>2560</v>
      </c>
      <c r="CI60" s="82">
        <f t="shared" si="97"/>
        <v>2350</v>
      </c>
      <c r="CJ60" s="82">
        <f t="shared" si="97"/>
        <v>2180</v>
      </c>
      <c r="CK60" s="87" t="s">
        <v>164</v>
      </c>
      <c r="CL60" s="193"/>
      <c r="CM60" s="197">
        <v>57</v>
      </c>
      <c r="CN60" s="197">
        <f t="shared" si="0"/>
        <v>-0.88606396084442829</v>
      </c>
      <c r="CO60" s="197">
        <f t="shared" si="1"/>
        <v>30.757608461040363</v>
      </c>
      <c r="CP60" s="197">
        <f t="shared" si="2"/>
        <v>-1.7212552660478859</v>
      </c>
    </row>
    <row r="61" spans="1:94" ht="15.5" x14ac:dyDescent="0.35">
      <c r="A61" s="33" t="s">
        <v>117</v>
      </c>
      <c r="B61" s="130">
        <f>Wtotal*KphToKts</f>
        <v>-1.1968772701147077</v>
      </c>
      <c r="C61" s="3" t="s">
        <v>8</v>
      </c>
      <c r="E61" s="4">
        <f>Wstf+Wm</f>
        <v>-2.2180529569765763</v>
      </c>
      <c r="F61" s="41" t="s">
        <v>1</v>
      </c>
      <c r="G61" s="16"/>
      <c r="H61" s="4">
        <f>Wtotal*KphToMps</f>
        <v>-0.61612582138238237</v>
      </c>
      <c r="I61" s="3" t="s">
        <v>0</v>
      </c>
      <c r="AE61" s="88"/>
      <c r="AF61" s="89"/>
      <c r="AG61" s="61"/>
      <c r="AH61" s="90" t="s">
        <v>40</v>
      </c>
      <c r="AI61" s="91">
        <f>KphToKts*(aRprime*AI41*KtsToKph-SQRT(aRprime*(aRprime*(AI41*KtsToKph)^2-$AE55*KtsToKph+bRprime*AI41*KtsToKph+cRprime)))/aRprime</f>
        <v>91.094317607501253</v>
      </c>
      <c r="AJ61" s="91">
        <f>KphToKts*(aRprime*AJ41*KtsToKph-SQRT(aRprime*(aRprime*(AJ41*KtsToKph)^2-$AE55*KtsToKph+bRprime*AJ41*KtsToKph+cRprime)))/aRprime</f>
        <v>83.907839456777836</v>
      </c>
      <c r="AK61" s="91">
        <f>KphToKts*(aRprime*AK41*KtsToKph-SQRT(aRprime*(aRprime*(AK41*KtsToKph)^2-$AE55*KtsToKph+bRprime*AK41*KtsToKph+cRprime)))/aRprime</f>
        <v>78.32221719052913</v>
      </c>
      <c r="AL61" s="91">
        <f>KphToKts*(aRprime*AL41*KtsToKph-SQRT(aRprime*(aRprime*(AL41*KtsToKph)^2-$AE55*KtsToKph+bRprime*AL41*KtsToKph+cRprime)))/aRprime</f>
        <v>74.007084616788887</v>
      </c>
      <c r="AM61" s="178">
        <f>KphToKts*(aRprime*AM54*KtsToKph-SQRT(aRprime*(aRprime*(AM54*KtsToKph)^2-$AE55*KtsToKph+bRprime*AM54*KtsToKph+cRprime)))/aRprime</f>
        <v>70.656441633175177</v>
      </c>
      <c r="AN61" s="91">
        <f>KphToKts*(aRprime*AN41*KtsToKph-SQRT(aRprime*(aRprime*(AN41*KtsToKph)^2-$AE55*KtsToKph+bRprime*AN41*KtsToKph+cRprime)))/aRprime</f>
        <v>68.024089917049423</v>
      </c>
      <c r="AO61" s="91">
        <f>KphToKts*(aRprime*AO41*KtsToKph-SQRT(aRprime*(aRprime*(AO41*KtsToKph)^2-$AE55*KtsToKph+bRprime*AO41*KtsToKph+cRprime)))/aRprime</f>
        <v>65.92545880299582</v>
      </c>
      <c r="AP61" s="91">
        <f>KphToKts*(aRprime*AP41*KtsToKph-SQRT(aRprime*(aRprime*(AP41*KtsToKph)^2-$AE55*KtsToKph+bRprime*AP41*KtsToKph+cRprime)))/aRprime</f>
        <v>64.226378120072368</v>
      </c>
      <c r="AQ61" s="91">
        <f>KphToKts*(aRprime*AQ41*KtsToKph-SQRT(aRprime*(aRprime*(AQ41*KtsToKph)^2-$AE55*KtsToKph+bRprime*AQ41*KtsToKph+cRprime)))/aRprime</f>
        <v>62.83013272746647</v>
      </c>
      <c r="AR61" s="72" t="s">
        <v>8</v>
      </c>
      <c r="AT61" s="88"/>
      <c r="AU61" s="89"/>
      <c r="AV61" s="61"/>
      <c r="AW61" s="90" t="s">
        <v>40</v>
      </c>
      <c r="AX61" s="177">
        <f t="shared" ref="AX61:BF61" si="99">KphToKts*(-1*SQRT(aRprime*(-$AT55*KtsToKph+cRprime)))/aRprime</f>
        <v>70.656441633175177</v>
      </c>
      <c r="AY61" s="177">
        <f t="shared" si="99"/>
        <v>70.656441633175177</v>
      </c>
      <c r="AZ61" s="177">
        <f t="shared" si="99"/>
        <v>70.656441633175177</v>
      </c>
      <c r="BA61" s="177">
        <f t="shared" si="99"/>
        <v>70.656441633175177</v>
      </c>
      <c r="BB61" s="178">
        <f t="shared" si="99"/>
        <v>70.656441633175177</v>
      </c>
      <c r="BC61" s="177">
        <f t="shared" si="99"/>
        <v>70.656441633175177</v>
      </c>
      <c r="BD61" s="177">
        <f t="shared" si="99"/>
        <v>70.656441633175177</v>
      </c>
      <c r="BE61" s="177">
        <f t="shared" si="99"/>
        <v>70.656441633175177</v>
      </c>
      <c r="BF61" s="177">
        <f t="shared" si="99"/>
        <v>70.656441633175177</v>
      </c>
      <c r="BG61" s="72" t="s">
        <v>8</v>
      </c>
      <c r="BI61" s="88"/>
      <c r="BJ61" s="89"/>
      <c r="BK61" s="61"/>
      <c r="BL61" s="90" t="s">
        <v>40</v>
      </c>
      <c r="BM61" s="177">
        <f t="shared" ref="BM61:BU61" si="100">(aRprime*BM54-SQRT(aRprime*(aRprime*BM54^2-$BI55*MpsToKph+bRprime*BM54+cRprime)))/aRprime</f>
        <v>172.7761808063814</v>
      </c>
      <c r="BN61" s="177">
        <f t="shared" si="100"/>
        <v>157.45186578045579</v>
      </c>
      <c r="BO61" s="177">
        <f t="shared" si="100"/>
        <v>145.76536561259348</v>
      </c>
      <c r="BP61" s="177">
        <f t="shared" si="100"/>
        <v>136.94340076395576</v>
      </c>
      <c r="BQ61" s="178">
        <f t="shared" si="100"/>
        <v>130.25054856434491</v>
      </c>
      <c r="BR61" s="177">
        <f t="shared" si="100"/>
        <v>125.10221163161629</v>
      </c>
      <c r="BS61" s="177">
        <f t="shared" si="100"/>
        <v>121.07171768954342</v>
      </c>
      <c r="BT61" s="177">
        <f t="shared" si="100"/>
        <v>117.85821504370713</v>
      </c>
      <c r="BU61" s="177">
        <f t="shared" si="100"/>
        <v>115.25109750679295</v>
      </c>
      <c r="BV61" s="72" t="s">
        <v>1</v>
      </c>
      <c r="BX61" s="88"/>
      <c r="BY61" s="89"/>
      <c r="BZ61" s="61"/>
      <c r="CA61" s="90" t="s">
        <v>40</v>
      </c>
      <c r="CB61" s="177">
        <f t="shared" ref="CB61:CJ61" si="101">(-1*SQRT(aRprime*(-$BX55*MpsToKph+cRprime)))/aRprime</f>
        <v>130.25054856434491</v>
      </c>
      <c r="CC61" s="177">
        <f t="shared" si="101"/>
        <v>130.25054856434491</v>
      </c>
      <c r="CD61" s="177">
        <f t="shared" si="101"/>
        <v>130.25054856434491</v>
      </c>
      <c r="CE61" s="177">
        <f t="shared" si="101"/>
        <v>130.25054856434491</v>
      </c>
      <c r="CF61" s="178">
        <f t="shared" si="101"/>
        <v>130.25054856434491</v>
      </c>
      <c r="CG61" s="177">
        <f t="shared" si="101"/>
        <v>130.25054856434491</v>
      </c>
      <c r="CH61" s="177">
        <f t="shared" si="101"/>
        <v>130.25054856434491</v>
      </c>
      <c r="CI61" s="177">
        <f t="shared" si="101"/>
        <v>130.25054856434491</v>
      </c>
      <c r="CJ61" s="177">
        <f t="shared" si="101"/>
        <v>130.25054856434491</v>
      </c>
      <c r="CK61" s="72" t="s">
        <v>1</v>
      </c>
      <c r="CL61" s="193"/>
      <c r="CM61" s="197">
        <v>58</v>
      </c>
      <c r="CN61" s="197">
        <f t="shared" si="0"/>
        <v>-0.86897348111763706</v>
      </c>
      <c r="CO61" s="197">
        <f t="shared" si="1"/>
        <v>31.297215627023526</v>
      </c>
      <c r="CP61" s="197">
        <f t="shared" si="2"/>
        <v>-1.6880555428574862</v>
      </c>
    </row>
    <row r="62" spans="1:94" ht="15.5" x14ac:dyDescent="0.35">
      <c r="A62" s="3" t="s">
        <v>23</v>
      </c>
      <c r="B62" s="129">
        <f>E62*KphToKts</f>
        <v>0</v>
      </c>
      <c r="C62" s="42" t="s">
        <v>8</v>
      </c>
      <c r="D62" s="16"/>
      <c r="E62" s="4">
        <f>MC-HWind*SlopeRedLine</f>
        <v>0</v>
      </c>
      <c r="F62" s="3" t="s">
        <v>1</v>
      </c>
      <c r="G62" s="16"/>
      <c r="H62" s="201">
        <f>B62*KtsToMps</f>
        <v>0</v>
      </c>
      <c r="I62" s="3" t="s">
        <v>0</v>
      </c>
      <c r="AE62" s="84"/>
      <c r="AF62" s="62"/>
      <c r="AG62" s="63"/>
      <c r="AH62" s="92" t="s">
        <v>41</v>
      </c>
      <c r="AI62" s="190">
        <f t="shared" ref="AI62:AQ62" si="102">KphToKts*($AE55*KtsToKph-AI54*KtsToKph*(2*aRprime*AI61*KtsToKph+bRprime))</f>
        <v>8.4256193937525961</v>
      </c>
      <c r="AJ62" s="190">
        <f t="shared" si="102"/>
        <v>6.3615383331126178</v>
      </c>
      <c r="AK62" s="190">
        <f t="shared" si="102"/>
        <v>4.8743357874612601</v>
      </c>
      <c r="AL62" s="190">
        <f t="shared" si="102"/>
        <v>3.7955261135759635</v>
      </c>
      <c r="AM62" s="190">
        <f t="shared" si="102"/>
        <v>3</v>
      </c>
      <c r="AN62" s="190">
        <f t="shared" si="102"/>
        <v>2.400862295226152</v>
      </c>
      <c r="AO62" s="190">
        <f t="shared" si="102"/>
        <v>1.9394973433412703</v>
      </c>
      <c r="AP62" s="190">
        <f t="shared" si="102"/>
        <v>1.5765600952468155</v>
      </c>
      <c r="AQ62" s="190">
        <f t="shared" si="102"/>
        <v>1.2854039804921309</v>
      </c>
      <c r="AR62" s="93" t="s">
        <v>8</v>
      </c>
      <c r="AT62" s="84"/>
      <c r="AU62" s="62"/>
      <c r="AV62" s="63"/>
      <c r="AW62" s="92" t="s">
        <v>41</v>
      </c>
      <c r="AX62" s="207">
        <f t="shared" ref="AX62:BF62" si="103">$AT55</f>
        <v>3</v>
      </c>
      <c r="AY62" s="207">
        <f t="shared" si="103"/>
        <v>3</v>
      </c>
      <c r="AZ62" s="207">
        <f t="shared" si="103"/>
        <v>3</v>
      </c>
      <c r="BA62" s="207">
        <f t="shared" si="103"/>
        <v>3</v>
      </c>
      <c r="BB62" s="207">
        <f t="shared" si="103"/>
        <v>3</v>
      </c>
      <c r="BC62" s="207">
        <f t="shared" si="103"/>
        <v>3</v>
      </c>
      <c r="BD62" s="207">
        <f t="shared" si="103"/>
        <v>3</v>
      </c>
      <c r="BE62" s="207">
        <f t="shared" si="103"/>
        <v>3</v>
      </c>
      <c r="BF62" s="207">
        <f t="shared" si="103"/>
        <v>3</v>
      </c>
      <c r="BG62" s="93" t="s">
        <v>8</v>
      </c>
      <c r="BI62" s="84"/>
      <c r="BJ62" s="62"/>
      <c r="BK62" s="63"/>
      <c r="BL62" s="92" t="s">
        <v>41</v>
      </c>
      <c r="BM62" s="190">
        <f t="shared" ref="BM62:BU62" si="104">KphToMps*($BI55*MpsToKph-BM54*(2*aRprime*BM61+bRprime))</f>
        <v>4.670108764450605</v>
      </c>
      <c r="BN62" s="190">
        <f t="shared" si="104"/>
        <v>3.4252001500332629</v>
      </c>
      <c r="BO62" s="190">
        <f t="shared" si="104"/>
        <v>2.5534725572491839</v>
      </c>
      <c r="BP62" s="190">
        <f t="shared" si="104"/>
        <v>1.9399266777208668</v>
      </c>
      <c r="BQ62" s="190">
        <f t="shared" si="104"/>
        <v>1.5000000000000002</v>
      </c>
      <c r="BR62" s="190">
        <f t="shared" si="104"/>
        <v>1.1765925921289391</v>
      </c>
      <c r="BS62" s="190">
        <f t="shared" si="104"/>
        <v>0.93250664530637772</v>
      </c>
      <c r="BT62" s="190">
        <f t="shared" si="104"/>
        <v>0.74362416895369898</v>
      </c>
      <c r="BU62" s="190">
        <f t="shared" si="104"/>
        <v>0.59411677209160618</v>
      </c>
      <c r="BV62" s="93" t="s">
        <v>0</v>
      </c>
      <c r="BX62" s="84"/>
      <c r="BY62" s="62"/>
      <c r="BZ62" s="63"/>
      <c r="CA62" s="92" t="s">
        <v>41</v>
      </c>
      <c r="CB62" s="207">
        <f t="shared" ref="CB62:CE62" si="105">$BX55</f>
        <v>1.5</v>
      </c>
      <c r="CC62" s="207">
        <f t="shared" si="105"/>
        <v>1.5</v>
      </c>
      <c r="CD62" s="207">
        <f t="shared" si="105"/>
        <v>1.5</v>
      </c>
      <c r="CE62" s="207">
        <f t="shared" si="105"/>
        <v>1.5</v>
      </c>
      <c r="CF62" s="207">
        <f>$BX55</f>
        <v>1.5</v>
      </c>
      <c r="CG62" s="207">
        <f t="shared" ref="CG62:CJ62" si="106">$BX55</f>
        <v>1.5</v>
      </c>
      <c r="CH62" s="207">
        <f t="shared" si="106"/>
        <v>1.5</v>
      </c>
      <c r="CI62" s="207">
        <f t="shared" si="106"/>
        <v>1.5</v>
      </c>
      <c r="CJ62" s="207">
        <f t="shared" si="106"/>
        <v>1.5</v>
      </c>
      <c r="CK62" s="93" t="s">
        <v>0</v>
      </c>
      <c r="CL62" s="193"/>
      <c r="CM62" s="197">
        <v>59</v>
      </c>
      <c r="CN62" s="197">
        <f t="shared" si="0"/>
        <v>-0.85237500970414737</v>
      </c>
      <c r="CO62" s="197">
        <f t="shared" si="1"/>
        <v>31.836822793006693</v>
      </c>
      <c r="CP62" s="197">
        <f t="shared" si="2"/>
        <v>-1.6558115880287776</v>
      </c>
    </row>
    <row r="63" spans="1:94" ht="15.5" x14ac:dyDescent="0.35">
      <c r="A63" s="3" t="s">
        <v>49</v>
      </c>
      <c r="B63" s="112">
        <f>E63*KphToKts</f>
        <v>56.253231695391278</v>
      </c>
      <c r="C63" s="3" t="s">
        <v>8</v>
      </c>
      <c r="D63" s="16"/>
      <c r="E63" s="4">
        <f>Vstf-HWind</f>
        <v>104.24848897789911</v>
      </c>
      <c r="F63" s="3" t="s">
        <v>1</v>
      </c>
      <c r="G63" s="16"/>
      <c r="H63" s="4">
        <f>E63*KphToMps</f>
        <v>28.957913604971978</v>
      </c>
      <c r="I63" s="3" t="s">
        <v>0</v>
      </c>
      <c r="AE63" s="94"/>
      <c r="AF63" s="89"/>
      <c r="AG63" s="61"/>
      <c r="AH63" s="71" t="s">
        <v>49</v>
      </c>
      <c r="AI63" s="95">
        <f t="shared" ref="AI63:AL63" si="107">AI61-AI54</f>
        <v>51.094317607501253</v>
      </c>
      <c r="AJ63" s="95">
        <f t="shared" si="107"/>
        <v>53.907839456777836</v>
      </c>
      <c r="AK63" s="95">
        <f t="shared" si="107"/>
        <v>58.32221719052913</v>
      </c>
      <c r="AL63" s="95">
        <f t="shared" si="107"/>
        <v>64.007084616788887</v>
      </c>
      <c r="AM63" s="95">
        <f>AM61-AM54</f>
        <v>70.656441633175177</v>
      </c>
      <c r="AN63" s="95">
        <f t="shared" ref="AN63:AQ63" si="108">AN61-AN54</f>
        <v>78.024089917049423</v>
      </c>
      <c r="AO63" s="95">
        <f t="shared" si="108"/>
        <v>85.92545880299582</v>
      </c>
      <c r="AP63" s="95">
        <f t="shared" si="108"/>
        <v>94.226378120072368</v>
      </c>
      <c r="AQ63" s="95">
        <f t="shared" si="108"/>
        <v>102.83013272746646</v>
      </c>
      <c r="AR63" s="96" t="s">
        <v>8</v>
      </c>
      <c r="AT63" s="94"/>
      <c r="AU63" s="89"/>
      <c r="AV63" s="61"/>
      <c r="AW63" s="71" t="s">
        <v>49</v>
      </c>
      <c r="AX63" s="95">
        <f t="shared" ref="AX63:BA63" si="109">AX61-AX54</f>
        <v>30.656441633175177</v>
      </c>
      <c r="AY63" s="95">
        <f t="shared" si="109"/>
        <v>40.656441633175177</v>
      </c>
      <c r="AZ63" s="95">
        <f t="shared" si="109"/>
        <v>50.656441633175177</v>
      </c>
      <c r="BA63" s="95">
        <f t="shared" si="109"/>
        <v>60.656441633175177</v>
      </c>
      <c r="BB63" s="95">
        <f>BB61-BB54</f>
        <v>70.656441633175177</v>
      </c>
      <c r="BC63" s="95">
        <f t="shared" ref="BC63:BF63" si="110">BC61-BC54</f>
        <v>80.656441633175177</v>
      </c>
      <c r="BD63" s="95">
        <f t="shared" si="110"/>
        <v>90.656441633175177</v>
      </c>
      <c r="BE63" s="95">
        <f t="shared" si="110"/>
        <v>100.65644163317518</v>
      </c>
      <c r="BF63" s="95">
        <f t="shared" si="110"/>
        <v>110.65644163317518</v>
      </c>
      <c r="BG63" s="96" t="s">
        <v>8</v>
      </c>
      <c r="BI63" s="94"/>
      <c r="BJ63" s="89"/>
      <c r="BK63" s="61"/>
      <c r="BL63" s="71" t="s">
        <v>49</v>
      </c>
      <c r="BM63" s="95">
        <f t="shared" ref="BM63:BP63" si="111">BM61-BM54</f>
        <v>92.776180806381404</v>
      </c>
      <c r="BN63" s="95">
        <f t="shared" si="111"/>
        <v>97.45186578045579</v>
      </c>
      <c r="BO63" s="95">
        <f t="shared" si="111"/>
        <v>105.76536561259348</v>
      </c>
      <c r="BP63" s="95">
        <f t="shared" si="111"/>
        <v>116.94340076395576</v>
      </c>
      <c r="BQ63" s="95">
        <f>BQ61-BQ54</f>
        <v>130.25054856434491</v>
      </c>
      <c r="BR63" s="95">
        <f t="shared" ref="BR63:BU63" si="112">BR61-BR54</f>
        <v>145.10221163161629</v>
      </c>
      <c r="BS63" s="95">
        <f t="shared" si="112"/>
        <v>161.07171768954342</v>
      </c>
      <c r="BT63" s="95">
        <f t="shared" si="112"/>
        <v>177.85821504370713</v>
      </c>
      <c r="BU63" s="95">
        <f t="shared" si="112"/>
        <v>195.25109750679295</v>
      </c>
      <c r="BV63" s="96" t="s">
        <v>1</v>
      </c>
      <c r="BX63" s="94"/>
      <c r="BY63" s="89"/>
      <c r="BZ63" s="61"/>
      <c r="CA63" s="71" t="s">
        <v>49</v>
      </c>
      <c r="CB63" s="95">
        <f t="shared" ref="CB63:CE63" si="113">CB61-CB54</f>
        <v>50.250548564344911</v>
      </c>
      <c r="CC63" s="95">
        <f t="shared" si="113"/>
        <v>70.250548564344911</v>
      </c>
      <c r="CD63" s="95">
        <f t="shared" si="113"/>
        <v>90.250548564344911</v>
      </c>
      <c r="CE63" s="95">
        <f t="shared" si="113"/>
        <v>110.25054856434491</v>
      </c>
      <c r="CF63" s="95">
        <f>CF61-CF54</f>
        <v>130.25054856434491</v>
      </c>
      <c r="CG63" s="95">
        <f t="shared" ref="CG63:CJ63" si="114">CG61-CG54</f>
        <v>150.25054856434491</v>
      </c>
      <c r="CH63" s="95">
        <f t="shared" si="114"/>
        <v>170.25054856434491</v>
      </c>
      <c r="CI63" s="95">
        <f t="shared" si="114"/>
        <v>190.25054856434491</v>
      </c>
      <c r="CJ63" s="95">
        <f t="shared" si="114"/>
        <v>210.25054856434491</v>
      </c>
      <c r="CK63" s="96" t="s">
        <v>1</v>
      </c>
      <c r="CL63" s="194"/>
      <c r="CM63" s="197">
        <v>60</v>
      </c>
      <c r="CN63" s="197">
        <f t="shared" si="0"/>
        <v>-0.83626854660395888</v>
      </c>
      <c r="CO63" s="197">
        <f t="shared" si="1"/>
        <v>32.376429958989853</v>
      </c>
      <c r="CP63" s="197">
        <f t="shared" si="2"/>
        <v>-1.6245234015617591</v>
      </c>
    </row>
    <row r="64" spans="1:94" ht="15.5" x14ac:dyDescent="0.35">
      <c r="A64" s="3" t="s">
        <v>24</v>
      </c>
      <c r="B64" s="112">
        <f>E64*KphToKts</f>
        <v>0</v>
      </c>
      <c r="C64" s="3" t="s">
        <v>8</v>
      </c>
      <c r="D64" s="16"/>
      <c r="E64" s="4">
        <f>-MCwind/SlopeRedLine</f>
        <v>0</v>
      </c>
      <c r="F64" s="3" t="s">
        <v>1</v>
      </c>
      <c r="G64" s="16"/>
      <c r="H64" s="4">
        <f>E64*KphToMps</f>
        <v>0</v>
      </c>
      <c r="I64" s="3" t="s">
        <v>0</v>
      </c>
      <c r="AE64" s="84"/>
      <c r="AF64" s="89"/>
      <c r="AG64" s="61"/>
      <c r="AH64" s="71" t="s">
        <v>42</v>
      </c>
      <c r="AI64" s="95">
        <f t="shared" ref="AI64" si="115">-AI63/AI65</f>
        <v>12.999583620513754</v>
      </c>
      <c r="AJ64" s="95">
        <f t="shared" ref="AJ64" si="116">-AJ63/AJ65</f>
        <v>17.730262331023024</v>
      </c>
      <c r="AK64" s="95">
        <f t="shared" ref="AK64" si="117">-AK63/AK65</f>
        <v>23.652731137644231</v>
      </c>
      <c r="AL64" s="95">
        <f t="shared" ref="AL64" si="118">-AL63/AL65</f>
        <v>30.59713393053995</v>
      </c>
      <c r="AM64" s="95">
        <f>-AM63/AM65</f>
        <v>38.321015305013582</v>
      </c>
      <c r="AN64" s="95">
        <f t="shared" ref="AN64" si="119">-AN63/AN65</f>
        <v>46.589406199727506</v>
      </c>
      <c r="AO64" s="95">
        <f t="shared" ref="AO64" si="120">-AO63/AO65</f>
        <v>55.214605595904871</v>
      </c>
      <c r="AP64" s="95">
        <f t="shared" ref="AP64" si="121">-AP63/AP65</f>
        <v>64.062408122680125</v>
      </c>
      <c r="AQ64" s="95">
        <f t="shared" ref="AQ64" si="122">-AQ63/AQ65</f>
        <v>73.042963422821728</v>
      </c>
      <c r="AR64" s="96"/>
      <c r="AT64" s="84"/>
      <c r="AU64" s="89"/>
      <c r="AV64" s="61"/>
      <c r="AW64" s="71" t="s">
        <v>42</v>
      </c>
      <c r="AX64" s="95">
        <f t="shared" ref="AX64:BA64" si="123">-AX63/AX65</f>
        <v>16.626735537026629</v>
      </c>
      <c r="AY64" s="95">
        <f t="shared" si="123"/>
        <v>22.050305479023365</v>
      </c>
      <c r="AZ64" s="95">
        <f t="shared" si="123"/>
        <v>27.473875421020104</v>
      </c>
      <c r="BA64" s="95">
        <f t="shared" si="123"/>
        <v>32.897445363016843</v>
      </c>
      <c r="BB64" s="95">
        <f>-BB63/BB65</f>
        <v>38.321015305013582</v>
      </c>
      <c r="BC64" s="95">
        <f t="shared" ref="BC64:BF64" si="124">-BC63/BC65</f>
        <v>43.74458524701032</v>
      </c>
      <c r="BD64" s="95">
        <f t="shared" si="124"/>
        <v>49.168155189007059</v>
      </c>
      <c r="BE64" s="95">
        <f t="shared" si="124"/>
        <v>54.591725131003798</v>
      </c>
      <c r="BF64" s="95">
        <f t="shared" si="124"/>
        <v>60.01529507300053</v>
      </c>
      <c r="BG64" s="96"/>
      <c r="BI64" s="84"/>
      <c r="BJ64" s="89"/>
      <c r="BK64" s="61"/>
      <c r="BL64" s="71" t="s">
        <v>42</v>
      </c>
      <c r="BM64" s="95">
        <f>-BM63/BM65/MpsToKph</f>
        <v>11.841284203118187</v>
      </c>
      <c r="BN64" s="95">
        <f>-BN63/BN65/MpsToKph</f>
        <v>16.6389246993018</v>
      </c>
      <c r="BO64" s="95">
        <f>-BO63/BO65/MpsToKph</f>
        <v>22.85394647641192</v>
      </c>
      <c r="BP64" s="95">
        <f>-BP63/BP65/MpsToKph</f>
        <v>30.29328328763167</v>
      </c>
      <c r="BQ64" s="95">
        <f>-BQ63/BQ65/MpsToKph</f>
        <v>38.649339655947188</v>
      </c>
      <c r="BR64" s="95">
        <f>-BR63/BR65/MpsToKph</f>
        <v>47.623158283746413</v>
      </c>
      <c r="BS64" s="95">
        <f>-BS63/BS65/MpsToKph</f>
        <v>56.983423358833456</v>
      </c>
      <c r="BT64" s="95">
        <f>-BT63/BT65/MpsToKph</f>
        <v>66.572191370556425</v>
      </c>
      <c r="BU64" s="95">
        <f>-BU63/BU65/MpsToKph</f>
        <v>76.288994938149685</v>
      </c>
      <c r="BV64" s="96"/>
      <c r="BX64" s="84"/>
      <c r="BY64" s="89"/>
      <c r="BZ64" s="61"/>
      <c r="CA64" s="71" t="s">
        <v>42</v>
      </c>
      <c r="CB64" s="95">
        <f>-CB63/CB65/MpsToKph</f>
        <v>14.910881687393404</v>
      </c>
      <c r="CC64" s="95">
        <f>-CC63/CC65/MpsToKph</f>
        <v>20.845496179531853</v>
      </c>
      <c r="CD64" s="95">
        <f>-CD63/CD65/MpsToKph</f>
        <v>26.780110671670293</v>
      </c>
      <c r="CE64" s="95">
        <f>-CE63/CE65/MpsToKph</f>
        <v>32.714725163808744</v>
      </c>
      <c r="CF64" s="95">
        <f>-CF63/CF65/MpsToKph</f>
        <v>38.649339655947188</v>
      </c>
      <c r="CG64" s="95">
        <f>-CG63/CG65/MpsToKph</f>
        <v>44.583954148085638</v>
      </c>
      <c r="CH64" s="95">
        <f>-CH63/CH65/MpsToKph</f>
        <v>50.518568640224082</v>
      </c>
      <c r="CI64" s="95">
        <f>-CI63/CI65/MpsToKph</f>
        <v>56.453183132362525</v>
      </c>
      <c r="CJ64" s="95">
        <f>-CJ63/CJ65/MpsToKph</f>
        <v>62.387797624500969</v>
      </c>
      <c r="CK64" s="96"/>
      <c r="CL64" s="194"/>
      <c r="CM64" s="197">
        <v>61</v>
      </c>
      <c r="CN64" s="197">
        <f t="shared" si="0"/>
        <v>-0.82065409181707305</v>
      </c>
      <c r="CO64" s="197">
        <f t="shared" si="1"/>
        <v>32.916037124973023</v>
      </c>
      <c r="CP64" s="197">
        <f t="shared" si="2"/>
        <v>-1.5941909834564338</v>
      </c>
    </row>
    <row r="65" spans="1:94" ht="16" thickBot="1" x14ac:dyDescent="0.4">
      <c r="A65" s="42" t="s">
        <v>50</v>
      </c>
      <c r="B65" s="112">
        <f>E65*KphToKts</f>
        <v>0</v>
      </c>
      <c r="C65" s="3" t="s">
        <v>8</v>
      </c>
      <c r="D65" s="16"/>
      <c r="E65" s="4">
        <f>Vcc-HWind</f>
        <v>0</v>
      </c>
      <c r="F65" s="3" t="s">
        <v>1</v>
      </c>
      <c r="G65" s="16"/>
      <c r="H65" s="4">
        <f>E65*KphToMps</f>
        <v>0</v>
      </c>
      <c r="I65" s="3" t="s">
        <v>0</v>
      </c>
      <c r="AE65" s="97"/>
      <c r="AF65" s="64"/>
      <c r="AG65" s="65"/>
      <c r="AH65" s="98" t="s">
        <v>43</v>
      </c>
      <c r="AI65" s="191">
        <f t="shared" ref="AI65:AQ65" si="125">KphToKts*(aRprime*(AI61*KtsToKph)^2+bRprime*AI61*KtsToKph+cRprime)</f>
        <v>-3.9304580130453415</v>
      </c>
      <c r="AJ65" s="191">
        <f t="shared" si="125"/>
        <v>-3.0404422929746575</v>
      </c>
      <c r="AK65" s="191">
        <f t="shared" si="125"/>
        <v>-2.4657709442148557</v>
      </c>
      <c r="AL65" s="191">
        <f t="shared" si="125"/>
        <v>-2.0919307266521923</v>
      </c>
      <c r="AM65" s="191">
        <f t="shared" si="125"/>
        <v>-1.843804008604415</v>
      </c>
      <c r="AN65" s="191">
        <f t="shared" si="125"/>
        <v>-1.6747174149969264</v>
      </c>
      <c r="AO65" s="191">
        <f t="shared" si="125"/>
        <v>-1.5562088667598615</v>
      </c>
      <c r="AP65" s="191">
        <f t="shared" si="125"/>
        <v>-1.4708528898824402</v>
      </c>
      <c r="AQ65" s="191">
        <f t="shared" si="125"/>
        <v>-1.4078034064994953</v>
      </c>
      <c r="AR65" s="99" t="s">
        <v>8</v>
      </c>
      <c r="AT65" s="97"/>
      <c r="AU65" s="64"/>
      <c r="AV65" s="65"/>
      <c r="AW65" s="98" t="s">
        <v>43</v>
      </c>
      <c r="AX65" s="191">
        <f t="shared" ref="AX65:BF65" si="126">KphToKts*(aRprime*(AX61*KtsToKph)^2+bRprime*AX61*KtsToKph+cRprime)</f>
        <v>-1.843804008604415</v>
      </c>
      <c r="AY65" s="191">
        <f t="shared" si="126"/>
        <v>-1.843804008604415</v>
      </c>
      <c r="AZ65" s="191">
        <f t="shared" si="126"/>
        <v>-1.843804008604415</v>
      </c>
      <c r="BA65" s="191">
        <f t="shared" si="126"/>
        <v>-1.843804008604415</v>
      </c>
      <c r="BB65" s="191">
        <f t="shared" si="126"/>
        <v>-1.843804008604415</v>
      </c>
      <c r="BC65" s="191">
        <f t="shared" si="126"/>
        <v>-1.843804008604415</v>
      </c>
      <c r="BD65" s="191">
        <f t="shared" si="126"/>
        <v>-1.843804008604415</v>
      </c>
      <c r="BE65" s="191">
        <f t="shared" si="126"/>
        <v>-1.843804008604415</v>
      </c>
      <c r="BF65" s="191">
        <f t="shared" si="126"/>
        <v>-1.843804008604415</v>
      </c>
      <c r="BG65" s="99" t="s">
        <v>8</v>
      </c>
      <c r="BI65" s="97"/>
      <c r="BJ65" s="64"/>
      <c r="BK65" s="65"/>
      <c r="BL65" s="98" t="s">
        <v>43</v>
      </c>
      <c r="BM65" s="191">
        <f>KphToMps*(aRprime*BM61^2+bRprime*BM61+cRprime)</f>
        <v>-2.1763822988320456</v>
      </c>
      <c r="BN65" s="191">
        <f>KphToMps*(aRprime*BN61^2+bRprime*BN61+cRprime)</f>
        <v>-1.6269057770259145</v>
      </c>
      <c r="BO65" s="191">
        <f>KphToMps*(aRprime*BO61^2+bRprime*BO61+cRprime)</f>
        <v>-1.2855227545073418</v>
      </c>
      <c r="BP65" s="191">
        <f>KphToMps*(aRprime*BP61^2+bRprime*BP61+cRprime)</f>
        <v>-1.0723260889733466</v>
      </c>
      <c r="BQ65" s="191">
        <f>KphToMps*(aRprime*BQ61^2+bRprime*BQ61+cRprime)</f>
        <v>-0.93612745409410703</v>
      </c>
      <c r="BR65" s="191">
        <f>KphToMps*(aRprime*BR61^2+bRprime*BR61+cRprime)</f>
        <v>-0.84635650700696008</v>
      </c>
      <c r="BS65" s="191">
        <f>KphToMps*(aRprime*BS61^2+bRprime*BS61+cRprime)</f>
        <v>-0.78517823544757448</v>
      </c>
      <c r="BT65" s="191">
        <f>KphToMps*(aRprime*BT61^2+bRprime*BT61+cRprime)</f>
        <v>-0.74212758686826075</v>
      </c>
      <c r="BU65" s="191">
        <f>KphToMps*(aRprime*BU61^2+bRprime*BU61+cRprime)</f>
        <v>-0.71093368077637709</v>
      </c>
      <c r="BV65" s="99" t="s">
        <v>0</v>
      </c>
      <c r="BX65" s="97"/>
      <c r="BY65" s="64"/>
      <c r="BZ65" s="65"/>
      <c r="CA65" s="98" t="s">
        <v>43</v>
      </c>
      <c r="CB65" s="191">
        <f>KphToMps*(aRprime*CB61^2+bRprime*CB61+cRprime)</f>
        <v>-0.93612745409410703</v>
      </c>
      <c r="CC65" s="191">
        <f>KphToMps*(aRprime*CC61^2+bRprime*CC61+cRprime)</f>
        <v>-0.93612745409410703</v>
      </c>
      <c r="CD65" s="191">
        <f>KphToMps*(aRprime*CD61^2+bRprime*CD61+cRprime)</f>
        <v>-0.93612745409410703</v>
      </c>
      <c r="CE65" s="191">
        <f>KphToMps*(aRprime*CE61^2+bRprime*CE61+cRprime)</f>
        <v>-0.93612745409410703</v>
      </c>
      <c r="CF65" s="191">
        <f>KphToMps*(aRprime*CF61^2+bRprime*CF61+cRprime)</f>
        <v>-0.93612745409410703</v>
      </c>
      <c r="CG65" s="191">
        <f>KphToMps*(aRprime*CG61^2+bRprime*CG61+cRprime)</f>
        <v>-0.93612745409410703</v>
      </c>
      <c r="CH65" s="191">
        <f>KphToMps*(aRprime*CH61^2+bRprime*CH61+cRprime)</f>
        <v>-0.93612745409410703</v>
      </c>
      <c r="CI65" s="191">
        <f>KphToMps*(aRprime*CI61^2+bRprime*CI61+cRprime)</f>
        <v>-0.93612745409410703</v>
      </c>
      <c r="CJ65" s="191">
        <f>KphToMps*(aRprime*CJ61^2+bRprime*CJ61+cRprime)</f>
        <v>-0.93612745409410703</v>
      </c>
      <c r="CK65" s="99" t="s">
        <v>0</v>
      </c>
      <c r="CL65" s="194"/>
      <c r="CM65" s="197">
        <v>62</v>
      </c>
      <c r="CN65" s="197">
        <f t="shared" si="0"/>
        <v>-0.80553164534348909</v>
      </c>
      <c r="CO65" s="197">
        <f t="shared" si="1"/>
        <v>33.455644290956187</v>
      </c>
      <c r="CP65" s="197">
        <f t="shared" si="2"/>
        <v>-1.5648143337128</v>
      </c>
    </row>
    <row r="66" spans="1:94" ht="16" thickTop="1" x14ac:dyDescent="0.35">
      <c r="A66" s="24" t="s">
        <v>118</v>
      </c>
      <c r="B66" s="141">
        <f>-Vstf/Wstf</f>
        <v>47.000000000000014</v>
      </c>
      <c r="C66" s="40" t="s">
        <v>17</v>
      </c>
      <c r="D66" s="16"/>
      <c r="E66" s="3"/>
      <c r="F66" s="3"/>
      <c r="G66" s="16"/>
      <c r="H66" s="3"/>
      <c r="I66" s="3"/>
      <c r="AE66" s="66" t="s">
        <v>16</v>
      </c>
      <c r="AF66" s="67"/>
      <c r="AG66" s="68"/>
      <c r="AH66" s="69"/>
      <c r="AI66" s="45" t="s">
        <v>34</v>
      </c>
      <c r="AJ66" s="51"/>
      <c r="AK66" s="51"/>
      <c r="AL66" s="51"/>
      <c r="AM66" s="70" t="s">
        <v>35</v>
      </c>
      <c r="AN66" s="51"/>
      <c r="AO66" s="51"/>
      <c r="AP66" s="51"/>
      <c r="AQ66" s="71" t="s">
        <v>36</v>
      </c>
      <c r="AR66" s="72" t="s">
        <v>37</v>
      </c>
      <c r="AT66" s="66" t="s">
        <v>16</v>
      </c>
      <c r="AU66" s="67"/>
      <c r="AV66" s="68"/>
      <c r="AW66" s="69"/>
      <c r="AX66" s="45" t="s">
        <v>34</v>
      </c>
      <c r="AY66" s="51"/>
      <c r="AZ66" s="51"/>
      <c r="BA66" s="51"/>
      <c r="BB66" s="70" t="s">
        <v>35</v>
      </c>
      <c r="BC66" s="51"/>
      <c r="BD66" s="51"/>
      <c r="BE66" s="51"/>
      <c r="BF66" s="71" t="s">
        <v>36</v>
      </c>
      <c r="BG66" s="72" t="s">
        <v>37</v>
      </c>
      <c r="BI66" s="66" t="s">
        <v>16</v>
      </c>
      <c r="BJ66" s="67"/>
      <c r="BK66" s="68"/>
      <c r="BL66" s="69"/>
      <c r="BM66" s="45" t="s">
        <v>34</v>
      </c>
      <c r="BN66" s="51"/>
      <c r="BO66" s="51"/>
      <c r="BP66" s="51"/>
      <c r="BQ66" s="70" t="s">
        <v>35</v>
      </c>
      <c r="BR66" s="51"/>
      <c r="BS66" s="51"/>
      <c r="BT66" s="51"/>
      <c r="BU66" s="71" t="s">
        <v>36</v>
      </c>
      <c r="BV66" s="72" t="s">
        <v>37</v>
      </c>
      <c r="BX66" s="66" t="s">
        <v>16</v>
      </c>
      <c r="BY66" s="67"/>
      <c r="BZ66" s="68"/>
      <c r="CA66" s="69"/>
      <c r="CB66" s="45" t="s">
        <v>34</v>
      </c>
      <c r="CC66" s="51"/>
      <c r="CD66" s="51"/>
      <c r="CE66" s="51"/>
      <c r="CF66" s="70" t="s">
        <v>35</v>
      </c>
      <c r="CG66" s="51"/>
      <c r="CH66" s="51"/>
      <c r="CI66" s="51"/>
      <c r="CJ66" s="71" t="s">
        <v>36</v>
      </c>
      <c r="CK66" s="72" t="s">
        <v>37</v>
      </c>
      <c r="CL66" s="193"/>
      <c r="CM66" s="197">
        <v>63</v>
      </c>
      <c r="CN66" s="197">
        <f t="shared" si="0"/>
        <v>-0.790901207183206</v>
      </c>
      <c r="CO66" s="197">
        <f t="shared" si="1"/>
        <v>33.99525145693935</v>
      </c>
      <c r="CP66" s="197">
        <f t="shared" si="2"/>
        <v>-1.5363934523308556</v>
      </c>
    </row>
    <row r="67" spans="1:94" ht="15.5" x14ac:dyDescent="0.35">
      <c r="A67" s="24" t="s">
        <v>25</v>
      </c>
      <c r="B67" s="141">
        <f>-(Vstf-HWind)/Wtotal</f>
        <v>47.000000000000014</v>
      </c>
      <c r="C67" s="40" t="s">
        <v>17</v>
      </c>
      <c r="D67" s="16"/>
      <c r="E67" s="3"/>
      <c r="F67" s="3"/>
      <c r="G67" s="16"/>
      <c r="H67" s="3"/>
      <c r="I67" s="3"/>
      <c r="AE67" s="73" t="s">
        <v>8</v>
      </c>
      <c r="AF67" s="74"/>
      <c r="AG67" s="75"/>
      <c r="AH67" s="76"/>
      <c r="AI67" s="77">
        <v>40</v>
      </c>
      <c r="AJ67" s="78">
        <v>30</v>
      </c>
      <c r="AK67" s="78">
        <v>20</v>
      </c>
      <c r="AL67" s="78">
        <v>10</v>
      </c>
      <c r="AM67" s="78">
        <v>0</v>
      </c>
      <c r="AN67" s="78">
        <v>-10</v>
      </c>
      <c r="AO67" s="78">
        <v>-20</v>
      </c>
      <c r="AP67" s="78">
        <v>-30</v>
      </c>
      <c r="AQ67" s="79">
        <v>-40</v>
      </c>
      <c r="AR67" s="80" t="s">
        <v>8</v>
      </c>
      <c r="AT67" s="73" t="s">
        <v>8</v>
      </c>
      <c r="AU67" s="74"/>
      <c r="AV67" s="75"/>
      <c r="AW67" s="76"/>
      <c r="AX67" s="77">
        <v>40</v>
      </c>
      <c r="AY67" s="78">
        <v>30</v>
      </c>
      <c r="AZ67" s="78">
        <v>20</v>
      </c>
      <c r="BA67" s="78">
        <v>10</v>
      </c>
      <c r="BB67" s="78">
        <v>0</v>
      </c>
      <c r="BC67" s="78">
        <v>-10</v>
      </c>
      <c r="BD67" s="78">
        <v>-20</v>
      </c>
      <c r="BE67" s="78">
        <v>-30</v>
      </c>
      <c r="BF67" s="79">
        <v>-40</v>
      </c>
      <c r="BG67" s="80" t="s">
        <v>8</v>
      </c>
      <c r="BI67" s="73" t="s">
        <v>0</v>
      </c>
      <c r="BJ67" s="74"/>
      <c r="BK67" s="75"/>
      <c r="BL67" s="76"/>
      <c r="BM67" s="77">
        <v>80</v>
      </c>
      <c r="BN67" s="78">
        <v>60</v>
      </c>
      <c r="BO67" s="78">
        <v>40</v>
      </c>
      <c r="BP67" s="78">
        <v>20</v>
      </c>
      <c r="BQ67" s="78">
        <v>0</v>
      </c>
      <c r="BR67" s="78">
        <v>-20</v>
      </c>
      <c r="BS67" s="78">
        <v>-40</v>
      </c>
      <c r="BT67" s="78">
        <v>-60</v>
      </c>
      <c r="BU67" s="79">
        <v>-80</v>
      </c>
      <c r="BV67" s="80" t="s">
        <v>1</v>
      </c>
      <c r="BX67" s="73" t="s">
        <v>0</v>
      </c>
      <c r="BY67" s="74"/>
      <c r="BZ67" s="75"/>
      <c r="CA67" s="76"/>
      <c r="CB67" s="77">
        <v>80</v>
      </c>
      <c r="CC67" s="78">
        <v>60</v>
      </c>
      <c r="CD67" s="78">
        <v>40</v>
      </c>
      <c r="CE67" s="78">
        <v>20</v>
      </c>
      <c r="CF67" s="78">
        <v>0</v>
      </c>
      <c r="CG67" s="78">
        <v>-20</v>
      </c>
      <c r="CH67" s="78">
        <v>-40</v>
      </c>
      <c r="CI67" s="78">
        <v>-60</v>
      </c>
      <c r="CJ67" s="79">
        <v>-80</v>
      </c>
      <c r="CK67" s="80" t="s">
        <v>1</v>
      </c>
      <c r="CL67" s="193"/>
      <c r="CM67" s="197">
        <v>64</v>
      </c>
      <c r="CN67" s="197">
        <f t="shared" ref="CN67:CN130" si="127">(aRprime*CM67^2+bRprime*CM67+cRprime+Wm)/3.6</f>
        <v>-0.77676277733622567</v>
      </c>
      <c r="CO67" s="197">
        <f t="shared" si="1"/>
        <v>34.534858622922513</v>
      </c>
      <c r="CP67" s="197">
        <f t="shared" si="2"/>
        <v>-1.5089283393106045</v>
      </c>
    </row>
    <row r="68" spans="1:94" ht="15.5" x14ac:dyDescent="0.35">
      <c r="A68" s="3" t="s">
        <v>52</v>
      </c>
      <c r="B68" s="141">
        <f>10*SmiToFt/Eground</f>
        <v>1123.4042553191487</v>
      </c>
      <c r="C68" s="3" t="s">
        <v>33</v>
      </c>
      <c r="D68" s="12"/>
      <c r="E68" s="3">
        <f>B68*FtToM</f>
        <v>342.41360606404112</v>
      </c>
      <c r="F68" s="3" t="s">
        <v>164</v>
      </c>
      <c r="G68" s="12"/>
      <c r="H68" s="3"/>
      <c r="I68" s="3"/>
      <c r="AE68" s="66">
        <v>4</v>
      </c>
      <c r="AF68" s="81" t="s">
        <v>38</v>
      </c>
      <c r="AG68" s="60">
        <v>5</v>
      </c>
      <c r="AH68" s="71" t="s">
        <v>39</v>
      </c>
      <c r="AI68" s="82">
        <f t="shared" ref="AI68:AQ73" si="128">ROUND($AG68*SmiToFt/AI$77+$AI$11+$AI$12,-2)</f>
        <v>4100</v>
      </c>
      <c r="AJ68" s="82">
        <f t="shared" si="128"/>
        <v>3600</v>
      </c>
      <c r="AK68" s="82">
        <f t="shared" si="128"/>
        <v>3200</v>
      </c>
      <c r="AL68" s="82">
        <f t="shared" si="128"/>
        <v>2900</v>
      </c>
      <c r="AM68" s="83">
        <f t="shared" si="128"/>
        <v>2700</v>
      </c>
      <c r="AN68" s="82">
        <f t="shared" si="128"/>
        <v>2500</v>
      </c>
      <c r="AO68" s="82">
        <f t="shared" si="128"/>
        <v>2400</v>
      </c>
      <c r="AP68" s="82">
        <f t="shared" si="128"/>
        <v>2400</v>
      </c>
      <c r="AQ68" s="82">
        <f t="shared" si="128"/>
        <v>2300</v>
      </c>
      <c r="AR68" s="72" t="s">
        <v>33</v>
      </c>
      <c r="AT68" s="66">
        <v>4</v>
      </c>
      <c r="AU68" s="81" t="s">
        <v>38</v>
      </c>
      <c r="AV68" s="60">
        <v>5</v>
      </c>
      <c r="AW68" s="71" t="s">
        <v>39</v>
      </c>
      <c r="AX68" s="82">
        <f t="shared" ref="AX68:BF73" si="129">ROUND($AV68*SmiToFt/AX$77+$AX$11+$AX$12,-2)</f>
        <v>3600</v>
      </c>
      <c r="AY68" s="82">
        <f t="shared" si="129"/>
        <v>3200</v>
      </c>
      <c r="AZ68" s="82">
        <f t="shared" si="129"/>
        <v>3000</v>
      </c>
      <c r="BA68" s="82">
        <f t="shared" si="129"/>
        <v>2800</v>
      </c>
      <c r="BB68" s="83">
        <f t="shared" si="129"/>
        <v>2700</v>
      </c>
      <c r="BC68" s="82">
        <f t="shared" si="129"/>
        <v>2600</v>
      </c>
      <c r="BD68" s="82">
        <f t="shared" si="129"/>
        <v>2500</v>
      </c>
      <c r="BE68" s="82">
        <f t="shared" si="129"/>
        <v>2500</v>
      </c>
      <c r="BF68" s="82">
        <f t="shared" si="129"/>
        <v>2400</v>
      </c>
      <c r="BG68" s="72" t="s">
        <v>33</v>
      </c>
      <c r="BI68" s="66">
        <v>2</v>
      </c>
      <c r="BJ68" s="81" t="s">
        <v>38</v>
      </c>
      <c r="BK68" s="60">
        <v>10</v>
      </c>
      <c r="BL68" s="71" t="s">
        <v>170</v>
      </c>
      <c r="BM68" s="82">
        <f t="shared" ref="BM68:BU73" si="130">ROUND($BK68*1000/BM$77+$BM$11+$BM$12,-1)</f>
        <v>1490</v>
      </c>
      <c r="BN68" s="82">
        <f t="shared" si="130"/>
        <v>1240</v>
      </c>
      <c r="BO68" s="82">
        <f t="shared" si="130"/>
        <v>1060</v>
      </c>
      <c r="BP68" s="82">
        <f t="shared" si="130"/>
        <v>950</v>
      </c>
      <c r="BQ68" s="83">
        <f t="shared" si="130"/>
        <v>870</v>
      </c>
      <c r="BR68" s="82">
        <f t="shared" si="130"/>
        <v>810</v>
      </c>
      <c r="BS68" s="82">
        <f t="shared" si="130"/>
        <v>770</v>
      </c>
      <c r="BT68" s="82">
        <f t="shared" si="130"/>
        <v>740</v>
      </c>
      <c r="BU68" s="82">
        <f t="shared" si="130"/>
        <v>720</v>
      </c>
      <c r="BV68" s="72" t="s">
        <v>164</v>
      </c>
      <c r="BX68" s="66">
        <v>2</v>
      </c>
      <c r="BY68" s="81" t="s">
        <v>38</v>
      </c>
      <c r="BZ68" s="60">
        <v>10</v>
      </c>
      <c r="CA68" s="71" t="s">
        <v>170</v>
      </c>
      <c r="CB68" s="82">
        <f t="shared" ref="CB68:CJ73" si="131">ROUND($BZ68*1000/CB$77+$CB$11+$CB$12,-1)</f>
        <v>1260</v>
      </c>
      <c r="CC68" s="82">
        <f t="shared" si="131"/>
        <v>1090</v>
      </c>
      <c r="CD68" s="82">
        <f t="shared" si="131"/>
        <v>980</v>
      </c>
      <c r="CE68" s="82">
        <f t="shared" si="131"/>
        <v>910</v>
      </c>
      <c r="CF68" s="83">
        <f>ROUND($BZ68*1000/CF$77+$CB$11+$CB$12,-1)</f>
        <v>870</v>
      </c>
      <c r="CG68" s="82">
        <f t="shared" si="131"/>
        <v>830</v>
      </c>
      <c r="CH68" s="82">
        <f t="shared" si="131"/>
        <v>800</v>
      </c>
      <c r="CI68" s="82">
        <f t="shared" si="131"/>
        <v>780</v>
      </c>
      <c r="CJ68" s="82">
        <f t="shared" si="131"/>
        <v>760</v>
      </c>
      <c r="CK68" s="72" t="s">
        <v>164</v>
      </c>
      <c r="CL68" s="193"/>
      <c r="CM68" s="197">
        <v>65</v>
      </c>
      <c r="CN68" s="197">
        <f t="shared" si="127"/>
        <v>-0.76311635580254689</v>
      </c>
      <c r="CO68" s="197">
        <f t="shared" ref="CO68:CO131" si="132">CM68/1.8532</f>
        <v>35.074465788905677</v>
      </c>
      <c r="CP68" s="197">
        <f t="shared" ref="CP68:CP131" si="133">CN68/1.8532*3600/1000</f>
        <v>-1.4824189946520445</v>
      </c>
    </row>
    <row r="69" spans="1:94" ht="15.5" x14ac:dyDescent="0.35">
      <c r="K69" s="44" t="s">
        <v>26</v>
      </c>
      <c r="L69" s="18"/>
      <c r="M69" s="18"/>
      <c r="N69" s="18"/>
      <c r="O69" s="18"/>
      <c r="P69" s="18"/>
      <c r="Q69" s="18"/>
      <c r="R69" s="18"/>
      <c r="S69" s="17"/>
      <c r="AE69" s="84"/>
      <c r="AF69" s="53"/>
      <c r="AG69" s="85">
        <v>10</v>
      </c>
      <c r="AH69" s="86" t="s">
        <v>39</v>
      </c>
      <c r="AI69" s="82">
        <f t="shared" si="128"/>
        <v>6300</v>
      </c>
      <c r="AJ69" s="82">
        <f t="shared" si="128"/>
        <v>5200</v>
      </c>
      <c r="AK69" s="82">
        <f t="shared" si="128"/>
        <v>4400</v>
      </c>
      <c r="AL69" s="82">
        <f t="shared" si="128"/>
        <v>3800</v>
      </c>
      <c r="AM69" s="83">
        <f t="shared" si="128"/>
        <v>3400</v>
      </c>
      <c r="AN69" s="82">
        <f t="shared" si="128"/>
        <v>3200</v>
      </c>
      <c r="AO69" s="82">
        <f t="shared" si="128"/>
        <v>3000</v>
      </c>
      <c r="AP69" s="82">
        <f t="shared" si="128"/>
        <v>2800</v>
      </c>
      <c r="AQ69" s="82">
        <f t="shared" si="128"/>
        <v>2700</v>
      </c>
      <c r="AR69" s="87" t="s">
        <v>33</v>
      </c>
      <c r="AT69" s="84"/>
      <c r="AU69" s="53"/>
      <c r="AV69" s="85">
        <v>10</v>
      </c>
      <c r="AW69" s="86" t="s">
        <v>39</v>
      </c>
      <c r="AX69" s="82">
        <f t="shared" si="129"/>
        <v>5200</v>
      </c>
      <c r="AY69" s="82">
        <f t="shared" si="129"/>
        <v>4500</v>
      </c>
      <c r="AZ69" s="82">
        <f t="shared" si="129"/>
        <v>4000</v>
      </c>
      <c r="BA69" s="82">
        <f t="shared" si="129"/>
        <v>3700</v>
      </c>
      <c r="BB69" s="83">
        <f t="shared" si="129"/>
        <v>3400</v>
      </c>
      <c r="BC69" s="82">
        <f t="shared" si="129"/>
        <v>3300</v>
      </c>
      <c r="BD69" s="82">
        <f t="shared" si="129"/>
        <v>3100</v>
      </c>
      <c r="BE69" s="82">
        <f t="shared" si="129"/>
        <v>3000</v>
      </c>
      <c r="BF69" s="82">
        <f t="shared" si="129"/>
        <v>2900</v>
      </c>
      <c r="BG69" s="87" t="s">
        <v>33</v>
      </c>
      <c r="BI69" s="84"/>
      <c r="BJ69" s="53"/>
      <c r="BK69" s="85">
        <v>20</v>
      </c>
      <c r="BL69" s="86" t="s">
        <v>170</v>
      </c>
      <c r="BM69" s="82">
        <f t="shared" si="130"/>
        <v>2400</v>
      </c>
      <c r="BN69" s="82">
        <f t="shared" si="130"/>
        <v>1900</v>
      </c>
      <c r="BO69" s="82">
        <f t="shared" si="130"/>
        <v>1550</v>
      </c>
      <c r="BP69" s="82">
        <f t="shared" si="130"/>
        <v>1310</v>
      </c>
      <c r="BQ69" s="83">
        <f t="shared" si="130"/>
        <v>1150</v>
      </c>
      <c r="BR69" s="82">
        <f t="shared" si="130"/>
        <v>1040</v>
      </c>
      <c r="BS69" s="82">
        <f t="shared" si="130"/>
        <v>960</v>
      </c>
      <c r="BT69" s="82">
        <f t="shared" si="130"/>
        <v>900</v>
      </c>
      <c r="BU69" s="82">
        <f t="shared" si="130"/>
        <v>860</v>
      </c>
      <c r="BV69" s="87" t="s">
        <v>164</v>
      </c>
      <c r="BX69" s="84"/>
      <c r="BY69" s="53"/>
      <c r="BZ69" s="85">
        <v>20</v>
      </c>
      <c r="CA69" s="86" t="s">
        <v>170</v>
      </c>
      <c r="CB69" s="82">
        <f t="shared" si="131"/>
        <v>1940</v>
      </c>
      <c r="CC69" s="82">
        <f t="shared" si="131"/>
        <v>1590</v>
      </c>
      <c r="CD69" s="82">
        <f t="shared" si="131"/>
        <v>1380</v>
      </c>
      <c r="CE69" s="82">
        <f t="shared" si="131"/>
        <v>1250</v>
      </c>
      <c r="CF69" s="83">
        <f t="shared" ref="CF69:CF73" si="134">ROUND($BZ69*1000/CF$77+$CB$11+$CB$12,-1)</f>
        <v>1150</v>
      </c>
      <c r="CG69" s="82">
        <f t="shared" si="131"/>
        <v>1080</v>
      </c>
      <c r="CH69" s="82">
        <f t="shared" si="131"/>
        <v>1020</v>
      </c>
      <c r="CI69" s="82">
        <f t="shared" si="131"/>
        <v>980</v>
      </c>
      <c r="CJ69" s="82">
        <f t="shared" si="131"/>
        <v>940</v>
      </c>
      <c r="CK69" s="87" t="s">
        <v>164</v>
      </c>
      <c r="CL69" s="193"/>
      <c r="CM69" s="197">
        <v>66</v>
      </c>
      <c r="CN69" s="197">
        <f t="shared" si="127"/>
        <v>-0.74996194258216953</v>
      </c>
      <c r="CO69" s="197">
        <f t="shared" si="132"/>
        <v>35.61407295488884</v>
      </c>
      <c r="CP69" s="197">
        <f t="shared" si="133"/>
        <v>-1.456865418355175</v>
      </c>
    </row>
    <row r="70" spans="1:94" ht="15.5" x14ac:dyDescent="0.35">
      <c r="A70" s="175" t="s">
        <v>114</v>
      </c>
      <c r="B70" s="37"/>
      <c r="C70" s="37"/>
      <c r="D70" s="37"/>
      <c r="E70" s="37"/>
      <c r="F70" s="37"/>
      <c r="G70" s="37"/>
      <c r="H70" s="37"/>
      <c r="I70" s="38"/>
      <c r="K70" s="19" t="s">
        <v>18</v>
      </c>
      <c r="L70" s="16"/>
      <c r="M70" s="16"/>
      <c r="N70" s="20"/>
      <c r="P70" s="19" t="s">
        <v>19</v>
      </c>
      <c r="Q70" s="16"/>
      <c r="R70" s="16"/>
      <c r="S70" s="20"/>
      <c r="AE70" s="84"/>
      <c r="AF70" s="53"/>
      <c r="AG70" s="85">
        <v>20</v>
      </c>
      <c r="AH70" s="86" t="s">
        <v>39</v>
      </c>
      <c r="AI70" s="82">
        <f t="shared" si="128"/>
        <v>10800</v>
      </c>
      <c r="AJ70" s="82">
        <f t="shared" si="128"/>
        <v>8500</v>
      </c>
      <c r="AK70" s="82">
        <f t="shared" si="128"/>
        <v>6900</v>
      </c>
      <c r="AL70" s="82">
        <f t="shared" si="128"/>
        <v>5800</v>
      </c>
      <c r="AM70" s="83">
        <f t="shared" si="128"/>
        <v>5000</v>
      </c>
      <c r="AN70" s="82">
        <f t="shared" si="128"/>
        <v>4400</v>
      </c>
      <c r="AO70" s="82">
        <f t="shared" si="128"/>
        <v>4000</v>
      </c>
      <c r="AP70" s="82">
        <f t="shared" si="128"/>
        <v>3700</v>
      </c>
      <c r="AQ70" s="82">
        <f t="shared" si="128"/>
        <v>3500</v>
      </c>
      <c r="AR70" s="87" t="s">
        <v>33</v>
      </c>
      <c r="AT70" s="84"/>
      <c r="AU70" s="53"/>
      <c r="AV70" s="85">
        <v>20</v>
      </c>
      <c r="AW70" s="86" t="s">
        <v>39</v>
      </c>
      <c r="AX70" s="82">
        <f t="shared" si="129"/>
        <v>8500</v>
      </c>
      <c r="AY70" s="82">
        <f t="shared" si="129"/>
        <v>7000</v>
      </c>
      <c r="AZ70" s="82">
        <f t="shared" si="129"/>
        <v>6100</v>
      </c>
      <c r="BA70" s="82">
        <f t="shared" si="129"/>
        <v>5400</v>
      </c>
      <c r="BB70" s="83">
        <f t="shared" si="129"/>
        <v>5000</v>
      </c>
      <c r="BC70" s="82">
        <f t="shared" si="129"/>
        <v>4600</v>
      </c>
      <c r="BD70" s="82">
        <f t="shared" si="129"/>
        <v>4300</v>
      </c>
      <c r="BE70" s="82">
        <f t="shared" si="129"/>
        <v>4100</v>
      </c>
      <c r="BF70" s="82">
        <f t="shared" si="129"/>
        <v>3900</v>
      </c>
      <c r="BG70" s="87" t="s">
        <v>33</v>
      </c>
      <c r="BI70" s="84"/>
      <c r="BJ70" s="53"/>
      <c r="BK70" s="85">
        <v>30</v>
      </c>
      <c r="BL70" s="86" t="s">
        <v>170</v>
      </c>
      <c r="BM70" s="82">
        <f t="shared" si="130"/>
        <v>3320</v>
      </c>
      <c r="BN70" s="82">
        <f t="shared" si="130"/>
        <v>2560</v>
      </c>
      <c r="BO70" s="82">
        <f t="shared" si="130"/>
        <v>2030</v>
      </c>
      <c r="BP70" s="82">
        <f t="shared" si="130"/>
        <v>1680</v>
      </c>
      <c r="BQ70" s="83">
        <f t="shared" si="130"/>
        <v>1440</v>
      </c>
      <c r="BR70" s="82">
        <f t="shared" si="130"/>
        <v>1270</v>
      </c>
      <c r="BS70" s="82">
        <f t="shared" si="130"/>
        <v>1150</v>
      </c>
      <c r="BT70" s="82">
        <f t="shared" si="130"/>
        <v>1060</v>
      </c>
      <c r="BU70" s="82">
        <f t="shared" si="130"/>
        <v>1000</v>
      </c>
      <c r="BV70" s="87" t="s">
        <v>164</v>
      </c>
      <c r="BX70" s="84"/>
      <c r="BY70" s="53"/>
      <c r="BZ70" s="85">
        <v>30</v>
      </c>
      <c r="CA70" s="86" t="s">
        <v>170</v>
      </c>
      <c r="CB70" s="82">
        <f t="shared" si="131"/>
        <v>2620</v>
      </c>
      <c r="CC70" s="82">
        <f t="shared" si="131"/>
        <v>2100</v>
      </c>
      <c r="CD70" s="82">
        <f t="shared" si="131"/>
        <v>1790</v>
      </c>
      <c r="CE70" s="82">
        <f t="shared" si="131"/>
        <v>1580</v>
      </c>
      <c r="CF70" s="83">
        <f t="shared" si="134"/>
        <v>1440</v>
      </c>
      <c r="CG70" s="82">
        <f t="shared" si="131"/>
        <v>1330</v>
      </c>
      <c r="CH70" s="82">
        <f t="shared" si="131"/>
        <v>1240</v>
      </c>
      <c r="CI70" s="82">
        <f t="shared" si="131"/>
        <v>1180</v>
      </c>
      <c r="CJ70" s="82">
        <f t="shared" si="131"/>
        <v>1120</v>
      </c>
      <c r="CK70" s="87" t="s">
        <v>164</v>
      </c>
      <c r="CL70" s="193"/>
      <c r="CM70" s="197">
        <v>67</v>
      </c>
      <c r="CN70" s="197">
        <f t="shared" si="127"/>
        <v>-0.73729953767509471</v>
      </c>
      <c r="CO70" s="197">
        <f t="shared" si="132"/>
        <v>36.153680120872004</v>
      </c>
      <c r="CP70" s="197">
        <f t="shared" si="133"/>
        <v>-1.4322676104199983</v>
      </c>
    </row>
    <row r="71" spans="1:94" ht="15.5" x14ac:dyDescent="0.35">
      <c r="A71" s="24" t="s">
        <v>76</v>
      </c>
      <c r="B71" s="3">
        <f>SQRT(AllUpWeightWetKg/WeightPolar)</f>
        <v>1.085921760186449</v>
      </c>
      <c r="C71" s="3"/>
      <c r="D71" s="9"/>
      <c r="E71" s="18"/>
      <c r="F71" s="18"/>
      <c r="G71" s="9"/>
      <c r="H71" s="18"/>
      <c r="I71" s="17"/>
      <c r="K71" s="19">
        <v>0</v>
      </c>
      <c r="L71" s="16" t="s">
        <v>8</v>
      </c>
      <c r="M71" s="43">
        <f>B62</f>
        <v>0</v>
      </c>
      <c r="N71" s="20" t="s">
        <v>8</v>
      </c>
      <c r="P71" s="19">
        <v>0</v>
      </c>
      <c r="Q71" s="16" t="s">
        <v>1</v>
      </c>
      <c r="R71" s="16">
        <f>H62</f>
        <v>0</v>
      </c>
      <c r="S71" s="20" t="s">
        <v>0</v>
      </c>
      <c r="AE71" s="84"/>
      <c r="AF71" s="53"/>
      <c r="AG71" s="85">
        <v>30</v>
      </c>
      <c r="AH71" s="86" t="s">
        <v>39</v>
      </c>
      <c r="AI71" s="82">
        <f t="shared" si="128"/>
        <v>15200</v>
      </c>
      <c r="AJ71" s="82">
        <f t="shared" si="128"/>
        <v>11800</v>
      </c>
      <c r="AK71" s="82">
        <f t="shared" si="128"/>
        <v>9400</v>
      </c>
      <c r="AL71" s="82">
        <f t="shared" si="128"/>
        <v>7700</v>
      </c>
      <c r="AM71" s="83">
        <f t="shared" si="128"/>
        <v>6500</v>
      </c>
      <c r="AN71" s="82">
        <f t="shared" si="128"/>
        <v>5600</v>
      </c>
      <c r="AO71" s="82">
        <f t="shared" si="128"/>
        <v>5000</v>
      </c>
      <c r="AP71" s="82">
        <f t="shared" si="128"/>
        <v>4600</v>
      </c>
      <c r="AQ71" s="82">
        <f t="shared" si="128"/>
        <v>4200</v>
      </c>
      <c r="AR71" s="87" t="s">
        <v>33</v>
      </c>
      <c r="AT71" s="84"/>
      <c r="AU71" s="53"/>
      <c r="AV71" s="85">
        <v>30</v>
      </c>
      <c r="AW71" s="86" t="s">
        <v>39</v>
      </c>
      <c r="AX71" s="82">
        <f t="shared" si="129"/>
        <v>11700</v>
      </c>
      <c r="AY71" s="82">
        <f t="shared" si="129"/>
        <v>9500</v>
      </c>
      <c r="AZ71" s="82">
        <f t="shared" si="129"/>
        <v>8200</v>
      </c>
      <c r="BA71" s="82">
        <f t="shared" si="129"/>
        <v>7200</v>
      </c>
      <c r="BB71" s="83">
        <f t="shared" si="129"/>
        <v>6500</v>
      </c>
      <c r="BC71" s="82">
        <f t="shared" si="129"/>
        <v>6000</v>
      </c>
      <c r="BD71" s="82">
        <f t="shared" si="129"/>
        <v>5500</v>
      </c>
      <c r="BE71" s="82">
        <f t="shared" si="129"/>
        <v>5200</v>
      </c>
      <c r="BF71" s="82">
        <f t="shared" si="129"/>
        <v>4900</v>
      </c>
      <c r="BG71" s="87" t="s">
        <v>33</v>
      </c>
      <c r="BI71" s="84"/>
      <c r="BJ71" s="53"/>
      <c r="BK71" s="85">
        <v>40</v>
      </c>
      <c r="BL71" s="86" t="s">
        <v>170</v>
      </c>
      <c r="BM71" s="82">
        <f t="shared" si="130"/>
        <v>4230</v>
      </c>
      <c r="BN71" s="82">
        <f t="shared" si="130"/>
        <v>3220</v>
      </c>
      <c r="BO71" s="82">
        <f t="shared" si="130"/>
        <v>2520</v>
      </c>
      <c r="BP71" s="82">
        <f t="shared" si="130"/>
        <v>2040</v>
      </c>
      <c r="BQ71" s="83">
        <f t="shared" si="130"/>
        <v>1720</v>
      </c>
      <c r="BR71" s="82">
        <f t="shared" si="130"/>
        <v>1500</v>
      </c>
      <c r="BS71" s="82">
        <f t="shared" si="130"/>
        <v>1340</v>
      </c>
      <c r="BT71" s="82">
        <f t="shared" si="130"/>
        <v>1220</v>
      </c>
      <c r="BU71" s="82">
        <f t="shared" si="130"/>
        <v>1140</v>
      </c>
      <c r="BV71" s="87" t="s">
        <v>164</v>
      </c>
      <c r="BX71" s="84"/>
      <c r="BY71" s="53"/>
      <c r="BZ71" s="85">
        <v>40</v>
      </c>
      <c r="CA71" s="86" t="s">
        <v>170</v>
      </c>
      <c r="CB71" s="82">
        <f t="shared" si="131"/>
        <v>3300</v>
      </c>
      <c r="CC71" s="82">
        <f t="shared" si="131"/>
        <v>2600</v>
      </c>
      <c r="CD71" s="82">
        <f t="shared" si="131"/>
        <v>2190</v>
      </c>
      <c r="CE71" s="82">
        <f t="shared" si="131"/>
        <v>1910</v>
      </c>
      <c r="CF71" s="83">
        <f t="shared" si="134"/>
        <v>1720</v>
      </c>
      <c r="CG71" s="82">
        <f t="shared" si="131"/>
        <v>1580</v>
      </c>
      <c r="CH71" s="82">
        <f t="shared" si="131"/>
        <v>1460</v>
      </c>
      <c r="CI71" s="82">
        <f t="shared" si="131"/>
        <v>1370</v>
      </c>
      <c r="CJ71" s="82">
        <f t="shared" si="131"/>
        <v>1300</v>
      </c>
      <c r="CK71" s="87" t="s">
        <v>164</v>
      </c>
      <c r="CL71" s="193"/>
      <c r="CM71" s="197">
        <v>68</v>
      </c>
      <c r="CN71" s="197">
        <f t="shared" si="127"/>
        <v>-0.72512914108132132</v>
      </c>
      <c r="CO71" s="197">
        <f t="shared" si="132"/>
        <v>36.693287286855167</v>
      </c>
      <c r="CP71" s="197">
        <f t="shared" si="133"/>
        <v>-1.4086255708465123</v>
      </c>
    </row>
    <row r="72" spans="1:94" ht="15.5" x14ac:dyDescent="0.35">
      <c r="A72" s="32" t="s">
        <v>72</v>
      </c>
      <c r="B72" s="3">
        <v>-2</v>
      </c>
      <c r="C72" s="3" t="s">
        <v>0</v>
      </c>
      <c r="D72" s="16"/>
      <c r="E72" s="24">
        <f>B72*MpsToKph</f>
        <v>-7.2</v>
      </c>
      <c r="F72" s="3" t="s">
        <v>1</v>
      </c>
      <c r="G72" s="16"/>
      <c r="H72" s="5">
        <f>B72*MpsToKts</f>
        <v>-3.8851715950787828</v>
      </c>
      <c r="I72" s="3" t="s">
        <v>8</v>
      </c>
      <c r="K72" s="39">
        <f>CO253</f>
        <v>134.90179149579106</v>
      </c>
      <c r="L72" s="12" t="s">
        <v>8</v>
      </c>
      <c r="M72" s="12">
        <f>M71+K72*B86</f>
        <v>-2.870250882889172</v>
      </c>
      <c r="N72" s="13" t="s">
        <v>8</v>
      </c>
      <c r="P72" s="11">
        <f>CM253</f>
        <v>250</v>
      </c>
      <c r="Q72" s="12" t="s">
        <v>1</v>
      </c>
      <c r="R72" s="12">
        <f>M72*KtsToMps</f>
        <v>-1.4775413711583927</v>
      </c>
      <c r="S72" s="13" t="s">
        <v>0</v>
      </c>
      <c r="AE72" s="84"/>
      <c r="AF72" s="53"/>
      <c r="AG72" s="85">
        <v>40</v>
      </c>
      <c r="AH72" s="86" t="s">
        <v>39</v>
      </c>
      <c r="AI72" s="82">
        <f t="shared" si="128"/>
        <v>19600</v>
      </c>
      <c r="AJ72" s="82">
        <f t="shared" si="128"/>
        <v>15100</v>
      </c>
      <c r="AK72" s="82">
        <f t="shared" si="128"/>
        <v>11800</v>
      </c>
      <c r="AL72" s="82">
        <f t="shared" si="128"/>
        <v>9600</v>
      </c>
      <c r="AM72" s="83">
        <f t="shared" si="128"/>
        <v>8000</v>
      </c>
      <c r="AN72" s="82">
        <f t="shared" si="128"/>
        <v>6900</v>
      </c>
      <c r="AO72" s="82">
        <f t="shared" si="128"/>
        <v>6100</v>
      </c>
      <c r="AP72" s="82">
        <f t="shared" si="128"/>
        <v>5500</v>
      </c>
      <c r="AQ72" s="82">
        <f t="shared" si="128"/>
        <v>5000</v>
      </c>
      <c r="AR72" s="87" t="s">
        <v>33</v>
      </c>
      <c r="AT72" s="84"/>
      <c r="AU72" s="53"/>
      <c r="AV72" s="85">
        <v>40</v>
      </c>
      <c r="AW72" s="86" t="s">
        <v>39</v>
      </c>
      <c r="AX72" s="82">
        <f t="shared" si="129"/>
        <v>15000</v>
      </c>
      <c r="AY72" s="82">
        <f t="shared" si="129"/>
        <v>12100</v>
      </c>
      <c r="AZ72" s="82">
        <f t="shared" si="129"/>
        <v>10200</v>
      </c>
      <c r="BA72" s="82">
        <f t="shared" si="129"/>
        <v>9000</v>
      </c>
      <c r="BB72" s="83">
        <f t="shared" si="129"/>
        <v>8000</v>
      </c>
      <c r="BC72" s="82">
        <f t="shared" si="129"/>
        <v>7300</v>
      </c>
      <c r="BD72" s="82">
        <f t="shared" si="129"/>
        <v>6700</v>
      </c>
      <c r="BE72" s="82">
        <f t="shared" si="129"/>
        <v>6300</v>
      </c>
      <c r="BF72" s="82">
        <f t="shared" si="129"/>
        <v>5900</v>
      </c>
      <c r="BG72" s="87" t="s">
        <v>33</v>
      </c>
      <c r="BI72" s="84"/>
      <c r="BJ72" s="53"/>
      <c r="BK72" s="85">
        <v>50</v>
      </c>
      <c r="BL72" s="86" t="s">
        <v>170</v>
      </c>
      <c r="BM72" s="82">
        <f t="shared" si="130"/>
        <v>5140</v>
      </c>
      <c r="BN72" s="82">
        <f t="shared" si="130"/>
        <v>3880</v>
      </c>
      <c r="BO72" s="82">
        <f t="shared" si="130"/>
        <v>3000</v>
      </c>
      <c r="BP72" s="82">
        <f t="shared" si="130"/>
        <v>2410</v>
      </c>
      <c r="BQ72" s="83">
        <f t="shared" si="130"/>
        <v>2010</v>
      </c>
      <c r="BR72" s="82">
        <f t="shared" si="130"/>
        <v>1730</v>
      </c>
      <c r="BS72" s="82">
        <f t="shared" si="130"/>
        <v>1530</v>
      </c>
      <c r="BT72" s="82">
        <f t="shared" si="130"/>
        <v>1390</v>
      </c>
      <c r="BU72" s="82">
        <f t="shared" si="130"/>
        <v>1280</v>
      </c>
      <c r="BV72" s="87" t="s">
        <v>164</v>
      </c>
      <c r="BX72" s="84"/>
      <c r="BY72" s="53"/>
      <c r="BZ72" s="85">
        <v>50</v>
      </c>
      <c r="CA72" s="86" t="s">
        <v>170</v>
      </c>
      <c r="CB72" s="82">
        <f t="shared" si="131"/>
        <v>3980</v>
      </c>
      <c r="CC72" s="82">
        <f t="shared" si="131"/>
        <v>3110</v>
      </c>
      <c r="CD72" s="82">
        <f t="shared" si="131"/>
        <v>2590</v>
      </c>
      <c r="CE72" s="82">
        <f t="shared" si="131"/>
        <v>2250</v>
      </c>
      <c r="CF72" s="83">
        <f t="shared" si="134"/>
        <v>2010</v>
      </c>
      <c r="CG72" s="82">
        <f t="shared" si="131"/>
        <v>1830</v>
      </c>
      <c r="CH72" s="82">
        <f t="shared" si="131"/>
        <v>1690</v>
      </c>
      <c r="CI72" s="82">
        <f t="shared" si="131"/>
        <v>1570</v>
      </c>
      <c r="CJ72" s="82">
        <f t="shared" si="131"/>
        <v>1480</v>
      </c>
      <c r="CK72" s="87" t="s">
        <v>164</v>
      </c>
      <c r="CL72" s="193"/>
      <c r="CM72" s="197">
        <v>69</v>
      </c>
      <c r="CN72" s="197">
        <f t="shared" si="127"/>
        <v>-0.71345075280084946</v>
      </c>
      <c r="CO72" s="197">
        <f t="shared" si="132"/>
        <v>37.232894452838337</v>
      </c>
      <c r="CP72" s="197">
        <f t="shared" si="133"/>
        <v>-1.3859392996347173</v>
      </c>
    </row>
    <row r="73" spans="1:94" ht="15.5" x14ac:dyDescent="0.35">
      <c r="A73" s="137" t="s">
        <v>99</v>
      </c>
      <c r="B73" s="27">
        <v>100</v>
      </c>
      <c r="C73" s="3" t="s">
        <v>1</v>
      </c>
      <c r="D73" s="16"/>
      <c r="E73" s="4">
        <f>B73*KphToMps</f>
        <v>27.777777777777779</v>
      </c>
      <c r="F73" s="3" t="s">
        <v>0</v>
      </c>
      <c r="G73" s="16"/>
      <c r="H73" s="5">
        <f>V1Nk*KphToKts</f>
        <v>53.960716598316424</v>
      </c>
      <c r="I73" s="3" t="s">
        <v>8</v>
      </c>
      <c r="AE73" s="84"/>
      <c r="AF73" s="53"/>
      <c r="AG73" s="85">
        <v>50</v>
      </c>
      <c r="AH73" s="86" t="s">
        <v>39</v>
      </c>
      <c r="AI73" s="82">
        <f t="shared" si="128"/>
        <v>24000</v>
      </c>
      <c r="AJ73" s="82">
        <f t="shared" si="128"/>
        <v>18400</v>
      </c>
      <c r="AK73" s="82">
        <f t="shared" si="128"/>
        <v>14300</v>
      </c>
      <c r="AL73" s="82">
        <f t="shared" si="128"/>
        <v>11500</v>
      </c>
      <c r="AM73" s="83">
        <f t="shared" si="128"/>
        <v>9500</v>
      </c>
      <c r="AN73" s="82">
        <f t="shared" si="128"/>
        <v>8100</v>
      </c>
      <c r="AO73" s="82">
        <f t="shared" si="128"/>
        <v>7100</v>
      </c>
      <c r="AP73" s="82">
        <f t="shared" si="128"/>
        <v>6400</v>
      </c>
      <c r="AQ73" s="82">
        <f t="shared" si="128"/>
        <v>5800</v>
      </c>
      <c r="AR73" s="87" t="s">
        <v>33</v>
      </c>
      <c r="AT73" s="84"/>
      <c r="AU73" s="53"/>
      <c r="AV73" s="85">
        <v>50</v>
      </c>
      <c r="AW73" s="86" t="s">
        <v>39</v>
      </c>
      <c r="AX73" s="82">
        <f t="shared" si="129"/>
        <v>18300</v>
      </c>
      <c r="AY73" s="82">
        <f t="shared" si="129"/>
        <v>14600</v>
      </c>
      <c r="AZ73" s="82">
        <f t="shared" si="129"/>
        <v>12300</v>
      </c>
      <c r="BA73" s="82">
        <f t="shared" si="129"/>
        <v>10700</v>
      </c>
      <c r="BB73" s="83">
        <f t="shared" si="129"/>
        <v>9500</v>
      </c>
      <c r="BC73" s="82">
        <f t="shared" si="129"/>
        <v>8600</v>
      </c>
      <c r="BD73" s="82">
        <f t="shared" si="129"/>
        <v>7900</v>
      </c>
      <c r="BE73" s="82">
        <f t="shared" si="129"/>
        <v>7400</v>
      </c>
      <c r="BF73" s="82">
        <f t="shared" si="129"/>
        <v>6900</v>
      </c>
      <c r="BG73" s="87" t="s">
        <v>33</v>
      </c>
      <c r="BI73" s="84"/>
      <c r="BJ73" s="53"/>
      <c r="BK73" s="85">
        <v>100</v>
      </c>
      <c r="BL73" s="86" t="s">
        <v>170</v>
      </c>
      <c r="BM73" s="82">
        <f t="shared" si="130"/>
        <v>9700</v>
      </c>
      <c r="BN73" s="82">
        <f t="shared" si="130"/>
        <v>7180</v>
      </c>
      <c r="BO73" s="82">
        <f t="shared" si="130"/>
        <v>5430</v>
      </c>
      <c r="BP73" s="82">
        <f t="shared" si="130"/>
        <v>4240</v>
      </c>
      <c r="BQ73" s="83">
        <f t="shared" si="130"/>
        <v>3430</v>
      </c>
      <c r="BR73" s="82">
        <f t="shared" si="130"/>
        <v>2870</v>
      </c>
      <c r="BS73" s="82">
        <f t="shared" si="130"/>
        <v>2480</v>
      </c>
      <c r="BT73" s="82">
        <f t="shared" si="130"/>
        <v>2190</v>
      </c>
      <c r="BU73" s="82">
        <f t="shared" si="130"/>
        <v>1970</v>
      </c>
      <c r="BV73" s="87" t="s">
        <v>164</v>
      </c>
      <c r="BX73" s="84"/>
      <c r="BY73" s="53"/>
      <c r="BZ73" s="85">
        <v>100</v>
      </c>
      <c r="CA73" s="86" t="s">
        <v>170</v>
      </c>
      <c r="CB73" s="82">
        <f t="shared" si="131"/>
        <v>7380</v>
      </c>
      <c r="CC73" s="82">
        <f t="shared" si="131"/>
        <v>5630</v>
      </c>
      <c r="CD73" s="82">
        <f t="shared" si="131"/>
        <v>4600</v>
      </c>
      <c r="CE73" s="82">
        <f t="shared" si="131"/>
        <v>3920</v>
      </c>
      <c r="CF73" s="83">
        <f t="shared" si="134"/>
        <v>3430</v>
      </c>
      <c r="CG73" s="82">
        <f t="shared" si="131"/>
        <v>3070</v>
      </c>
      <c r="CH73" s="82">
        <f t="shared" si="131"/>
        <v>2790</v>
      </c>
      <c r="CI73" s="82">
        <f t="shared" si="131"/>
        <v>2570</v>
      </c>
      <c r="CJ73" s="82">
        <f t="shared" si="131"/>
        <v>2380</v>
      </c>
      <c r="CK73" s="87" t="s">
        <v>164</v>
      </c>
      <c r="CL73" s="193"/>
      <c r="CM73" s="197">
        <v>70</v>
      </c>
      <c r="CN73" s="197">
        <f t="shared" si="127"/>
        <v>-0.70226437283368004</v>
      </c>
      <c r="CO73" s="197">
        <f t="shared" si="132"/>
        <v>37.772501618821501</v>
      </c>
      <c r="CP73" s="197">
        <f t="shared" si="133"/>
        <v>-1.3642087967846148</v>
      </c>
    </row>
    <row r="74" spans="1:94" ht="15.5" x14ac:dyDescent="0.35">
      <c r="A74" s="32" t="s">
        <v>100</v>
      </c>
      <c r="B74" s="138">
        <f>-1*(aN*(V1Nk/100)^2+bN*V1Nk/100+cN)</f>
        <v>-0.48</v>
      </c>
      <c r="C74" s="3" t="s">
        <v>0</v>
      </c>
      <c r="D74" s="16"/>
      <c r="E74" s="24">
        <f>B74*MpsToKph</f>
        <v>-1.728</v>
      </c>
      <c r="F74" s="3" t="s">
        <v>1</v>
      </c>
      <c r="G74" s="16"/>
      <c r="H74" s="5">
        <f>B74*MpsToKts</f>
        <v>-0.93244118281890787</v>
      </c>
      <c r="I74" s="3" t="s">
        <v>8</v>
      </c>
      <c r="K74" s="134" t="str">
        <f>IF(B8=1,"C",IF(B8=2,"R",IF(B8=3,"N","Error")))</f>
        <v>C</v>
      </c>
      <c r="L74" s="44" t="s">
        <v>94</v>
      </c>
      <c r="M74" s="17"/>
      <c r="AE74" s="88"/>
      <c r="AF74" s="89"/>
      <c r="AG74" s="61"/>
      <c r="AH74" s="90" t="s">
        <v>40</v>
      </c>
      <c r="AI74" s="91">
        <f>KphToKts*(aRprime*AI54*KtsToKph-SQRT(aRprime*(aRprime*(AI54*KtsToKph)^2-$AE68*KtsToKph+bRprime*AI54*KtsToKph+cRprime)))/aRprime</f>
        <v>96.744440383810755</v>
      </c>
      <c r="AJ74" s="91">
        <f>KphToKts*(aRprime*AJ54*KtsToKph-SQRT(aRprime*(aRprime*(AJ54*KtsToKph)^2-$AE68*KtsToKph+bRprime*AJ54*KtsToKph+cRprime)))/aRprime</f>
        <v>89.290449294919085</v>
      </c>
      <c r="AK74" s="91">
        <f>KphToKts*(aRprime*AK54*KtsToKph-SQRT(aRprime*(aRprime*(AK54*KtsToKph)^2-$AE68*KtsToKph+bRprime*AK54*KtsToKph+cRprime)))/aRprime</f>
        <v>83.330744829939349</v>
      </c>
      <c r="AL74" s="91">
        <f>KphToKts*(aRprime*AL54*KtsToKph-SQRT(aRprime*(aRprime*(AL54*KtsToKph)^2-$AE68*KtsToKph+bRprime*AL54*KtsToKph+cRprime)))/aRprime</f>
        <v>78.601815601603519</v>
      </c>
      <c r="AM74" s="178">
        <f>KphToKts*(aRprime*AM67*KtsToKph-SQRT(aRprime*(aRprime*(AM67*KtsToKph)^2-$AE68*KtsToKph+bRprime*AM67*KtsToKph+cRprime)))/aRprime</f>
        <v>74.84407102074239</v>
      </c>
      <c r="AN74" s="91">
        <f>KphToKts*(aRprime*AN54*KtsToKph-SQRT(aRprime*(aRprime*(AN54*KtsToKph)^2-$AE68*KtsToKph+bRprime*AN54*KtsToKph+cRprime)))/aRprime</f>
        <v>71.835571911482674</v>
      </c>
      <c r="AO74" s="91">
        <f>KphToKts*(aRprime*AO54*KtsToKph-SQRT(aRprime*(aRprime*(AO54*KtsToKph)^2-$AE68*KtsToKph+bRprime*AO54*KtsToKph+cRprime)))/aRprime</f>
        <v>69.400708572141482</v>
      </c>
      <c r="AP74" s="91">
        <f>KphToKts*(aRprime*AP54*KtsToKph-SQRT(aRprime*(aRprime*(AP54*KtsToKph)^2-$AE68*KtsToKph+bRprime*AP54*KtsToKph+cRprime)))/aRprime</f>
        <v>67.405916433872164</v>
      </c>
      <c r="AQ74" s="91">
        <f>KphToKts*(aRprime*AQ54*KtsToKph-SQRT(aRprime*(aRprime*(AQ54*KtsToKph)^2-$AE68*KtsToKph+bRprime*AQ54*KtsToKph+cRprime)))/aRprime</f>
        <v>65.751304575612721</v>
      </c>
      <c r="AR74" s="72" t="s">
        <v>8</v>
      </c>
      <c r="AT74" s="88"/>
      <c r="AU74" s="89"/>
      <c r="AV74" s="61"/>
      <c r="AW74" s="90" t="s">
        <v>40</v>
      </c>
      <c r="AX74" s="177">
        <f t="shared" ref="AX74:BF74" si="135">KphToKts*(-1*SQRT(aRprime*(-$AT68*KtsToKph+cRprime)))/aRprime</f>
        <v>74.84407102074239</v>
      </c>
      <c r="AY74" s="177">
        <f t="shared" si="135"/>
        <v>74.84407102074239</v>
      </c>
      <c r="AZ74" s="177">
        <f t="shared" si="135"/>
        <v>74.84407102074239</v>
      </c>
      <c r="BA74" s="177">
        <f t="shared" si="135"/>
        <v>74.84407102074239</v>
      </c>
      <c r="BB74" s="178">
        <f t="shared" si="135"/>
        <v>74.84407102074239</v>
      </c>
      <c r="BC74" s="177">
        <f t="shared" si="135"/>
        <v>74.84407102074239</v>
      </c>
      <c r="BD74" s="177">
        <f t="shared" si="135"/>
        <v>74.84407102074239</v>
      </c>
      <c r="BE74" s="177">
        <f t="shared" si="135"/>
        <v>74.84407102074239</v>
      </c>
      <c r="BF74" s="177">
        <f t="shared" si="135"/>
        <v>74.84407102074239</v>
      </c>
      <c r="BG74" s="72" t="s">
        <v>8</v>
      </c>
      <c r="BI74" s="88"/>
      <c r="BJ74" s="89"/>
      <c r="BK74" s="61"/>
      <c r="BL74" s="90" t="s">
        <v>40</v>
      </c>
      <c r="BM74" s="177">
        <f t="shared" ref="BM74:BU74" si="136">(aRprime*BM67-SQRT(aRprime*(aRprime*BM67^2-$BI68*MpsToKph+bRprime*BM67+cRprime)))/aRprime</f>
        <v>183.14991860102253</v>
      </c>
      <c r="BN74" s="177">
        <f t="shared" si="136"/>
        <v>167.37482072847047</v>
      </c>
      <c r="BO74" s="177">
        <f t="shared" si="136"/>
        <v>154.97303399295322</v>
      </c>
      <c r="BP74" s="177">
        <f t="shared" si="136"/>
        <v>145.3325375336284</v>
      </c>
      <c r="BQ74" s="178">
        <f t="shared" si="136"/>
        <v>137.83211303499621</v>
      </c>
      <c r="BR74" s="177">
        <f t="shared" si="136"/>
        <v>131.94452212161377</v>
      </c>
      <c r="BS74" s="177">
        <f t="shared" si="136"/>
        <v>127.26202265260089</v>
      </c>
      <c r="BT74" s="177">
        <f t="shared" si="136"/>
        <v>123.4830527348855</v>
      </c>
      <c r="BU74" s="177">
        <f t="shared" si="136"/>
        <v>120.38831567730283</v>
      </c>
      <c r="BV74" s="72" t="s">
        <v>1</v>
      </c>
      <c r="BX74" s="88"/>
      <c r="BY74" s="89"/>
      <c r="BZ74" s="61"/>
      <c r="CA74" s="90" t="s">
        <v>40</v>
      </c>
      <c r="CB74" s="177">
        <f t="shared" ref="CB74:CJ74" si="137">(-1*SQRT(aRprime*(-$BX68*MpsToKph+cRprime)))/aRprime</f>
        <v>137.83211303499621</v>
      </c>
      <c r="CC74" s="177">
        <f t="shared" si="137"/>
        <v>137.83211303499621</v>
      </c>
      <c r="CD74" s="177">
        <f t="shared" si="137"/>
        <v>137.83211303499621</v>
      </c>
      <c r="CE74" s="177">
        <f t="shared" si="137"/>
        <v>137.83211303499621</v>
      </c>
      <c r="CF74" s="178">
        <f t="shared" si="137"/>
        <v>137.83211303499621</v>
      </c>
      <c r="CG74" s="177">
        <f t="shared" si="137"/>
        <v>137.83211303499621</v>
      </c>
      <c r="CH74" s="177">
        <f t="shared" si="137"/>
        <v>137.83211303499621</v>
      </c>
      <c r="CI74" s="177">
        <f t="shared" si="137"/>
        <v>137.83211303499621</v>
      </c>
      <c r="CJ74" s="177">
        <f t="shared" si="137"/>
        <v>137.83211303499621</v>
      </c>
      <c r="CK74" s="72" t="s">
        <v>1</v>
      </c>
      <c r="CL74" s="193"/>
      <c r="CM74" s="197">
        <v>71</v>
      </c>
      <c r="CN74" s="197">
        <f t="shared" si="127"/>
        <v>-0.69157000117981215</v>
      </c>
      <c r="CO74" s="197">
        <f t="shared" si="132"/>
        <v>38.312108784804664</v>
      </c>
      <c r="CP74" s="197">
        <f t="shared" si="133"/>
        <v>-1.3434340622962031</v>
      </c>
    </row>
    <row r="75" spans="1:94" ht="15.5" x14ac:dyDescent="0.35">
      <c r="A75" s="33" t="s">
        <v>101</v>
      </c>
      <c r="B75" s="27">
        <v>175</v>
      </c>
      <c r="C75" s="3" t="s">
        <v>1</v>
      </c>
      <c r="D75" s="16"/>
      <c r="E75" s="4">
        <f>B75*KphToMps</f>
        <v>48.611111111111114</v>
      </c>
      <c r="F75" s="3" t="s">
        <v>0</v>
      </c>
      <c r="G75" s="16"/>
      <c r="H75" s="5">
        <f>V2Nk*KphToKts</f>
        <v>94.431254047053741</v>
      </c>
      <c r="I75" s="3" t="s">
        <v>8</v>
      </c>
      <c r="AE75" s="84"/>
      <c r="AF75" s="62"/>
      <c r="AG75" s="63"/>
      <c r="AH75" s="92" t="s">
        <v>41</v>
      </c>
      <c r="AI75" s="190">
        <f t="shared" ref="AI75:AQ75" si="138">KphToKts*($AE68*KtsToKph-AI67*KtsToKph*(2*aRprime*AI74*KtsToKph+bRprime))</f>
        <v>10.167467700336815</v>
      </c>
      <c r="AJ75" s="190">
        <f t="shared" si="138"/>
        <v>7.8915816814852366</v>
      </c>
      <c r="AK75" s="190">
        <f t="shared" si="138"/>
        <v>6.2031399475545408</v>
      </c>
      <c r="AL75" s="190">
        <f t="shared" si="138"/>
        <v>4.9463455530484444</v>
      </c>
      <c r="AM75" s="190">
        <f t="shared" si="138"/>
        <v>4</v>
      </c>
      <c r="AN75" s="190">
        <f t="shared" si="138"/>
        <v>3.2757525597792432</v>
      </c>
      <c r="AO75" s="190">
        <f t="shared" si="138"/>
        <v>2.7113511367661052</v>
      </c>
      <c r="AP75" s="190">
        <f t="shared" si="138"/>
        <v>2.2634604679649977</v>
      </c>
      <c r="AQ75" s="190">
        <f t="shared" si="138"/>
        <v>1.9018607417725906</v>
      </c>
      <c r="AR75" s="93" t="s">
        <v>8</v>
      </c>
      <c r="AT75" s="84"/>
      <c r="AU75" s="62"/>
      <c r="AV75" s="63"/>
      <c r="AW75" s="92" t="s">
        <v>41</v>
      </c>
      <c r="AX75" s="207">
        <f t="shared" ref="AX75:BF75" si="139">$AT68</f>
        <v>4</v>
      </c>
      <c r="AY75" s="207">
        <f t="shared" si="139"/>
        <v>4</v>
      </c>
      <c r="AZ75" s="207">
        <f t="shared" si="139"/>
        <v>4</v>
      </c>
      <c r="BA75" s="207">
        <f t="shared" si="139"/>
        <v>4</v>
      </c>
      <c r="BB75" s="207">
        <f t="shared" si="139"/>
        <v>4</v>
      </c>
      <c r="BC75" s="207">
        <f t="shared" si="139"/>
        <v>4</v>
      </c>
      <c r="BD75" s="207">
        <f t="shared" si="139"/>
        <v>4</v>
      </c>
      <c r="BE75" s="207">
        <f t="shared" si="139"/>
        <v>4</v>
      </c>
      <c r="BF75" s="207">
        <f t="shared" si="139"/>
        <v>4</v>
      </c>
      <c r="BG75" s="93" t="s">
        <v>8</v>
      </c>
      <c r="BI75" s="84"/>
      <c r="BJ75" s="62"/>
      <c r="BK75" s="63"/>
      <c r="BL75" s="92" t="s">
        <v>41</v>
      </c>
      <c r="BM75" s="190">
        <f t="shared" ref="BM75:BU75" si="140">KphToMps*($BI68*MpsToKph-BM67*(2*aRprime*BM74+bRprime))</f>
        <v>5.5784259832487475</v>
      </c>
      <c r="BN75" s="190">
        <f t="shared" si="140"/>
        <v>4.2181307296498263</v>
      </c>
      <c r="BO75" s="190">
        <f t="shared" si="140"/>
        <v>3.234682532819718</v>
      </c>
      <c r="BP75" s="190">
        <f t="shared" si="140"/>
        <v>2.5224771783629665</v>
      </c>
      <c r="BQ75" s="190">
        <f t="shared" si="140"/>
        <v>2</v>
      </c>
      <c r="BR75" s="190">
        <f t="shared" si="140"/>
        <v>1.6092631192635176</v>
      </c>
      <c r="BS75" s="190">
        <f t="shared" si="140"/>
        <v>1.3106793851584644</v>
      </c>
      <c r="BT75" s="190">
        <f t="shared" si="140"/>
        <v>1.077576154651706</v>
      </c>
      <c r="BU75" s="190">
        <f t="shared" si="140"/>
        <v>0.89191244832072114</v>
      </c>
      <c r="BV75" s="93" t="s">
        <v>0</v>
      </c>
      <c r="BX75" s="84"/>
      <c r="BY75" s="62"/>
      <c r="BZ75" s="63"/>
      <c r="CA75" s="92" t="s">
        <v>41</v>
      </c>
      <c r="CB75" s="207">
        <f t="shared" ref="CB75:CE75" si="141">$BX68</f>
        <v>2</v>
      </c>
      <c r="CC75" s="207">
        <f t="shared" si="141"/>
        <v>2</v>
      </c>
      <c r="CD75" s="207">
        <f t="shared" si="141"/>
        <v>2</v>
      </c>
      <c r="CE75" s="207">
        <f t="shared" si="141"/>
        <v>2</v>
      </c>
      <c r="CF75" s="207">
        <f>$BX68</f>
        <v>2</v>
      </c>
      <c r="CG75" s="207">
        <f t="shared" ref="CG75:CJ75" si="142">$BX68</f>
        <v>2</v>
      </c>
      <c r="CH75" s="207">
        <f t="shared" si="142"/>
        <v>2</v>
      </c>
      <c r="CI75" s="207">
        <f t="shared" si="142"/>
        <v>2</v>
      </c>
      <c r="CJ75" s="207">
        <f t="shared" si="142"/>
        <v>2</v>
      </c>
      <c r="CK75" s="93" t="s">
        <v>0</v>
      </c>
      <c r="CL75" s="193"/>
      <c r="CM75" s="197">
        <v>72</v>
      </c>
      <c r="CN75" s="197">
        <f t="shared" si="127"/>
        <v>-0.68136763783924603</v>
      </c>
      <c r="CO75" s="197">
        <f t="shared" si="132"/>
        <v>38.851715950787828</v>
      </c>
      <c r="CP75" s="197">
        <f t="shared" si="133"/>
        <v>-1.323615096169483</v>
      </c>
    </row>
    <row r="76" spans="1:94" ht="15.5" x14ac:dyDescent="0.35">
      <c r="A76" s="32" t="s">
        <v>103</v>
      </c>
      <c r="B76" s="138">
        <f>-1*(aN*(V2Nk/100)^2+bN*V2Nk/100+cN)</f>
        <v>-1.1831250000000004</v>
      </c>
      <c r="C76" s="3" t="s">
        <v>0</v>
      </c>
      <c r="D76" s="16"/>
      <c r="E76" s="24">
        <f>B76*MpsToKph</f>
        <v>-4.2592500000000015</v>
      </c>
      <c r="F76" s="3" t="s">
        <v>1</v>
      </c>
      <c r="G76" s="16"/>
      <c r="H76" s="5">
        <f>B76*MpsToKts</f>
        <v>-2.2983218217137935</v>
      </c>
      <c r="I76" s="3" t="s">
        <v>8</v>
      </c>
      <c r="AE76" s="94"/>
      <c r="AF76" s="89"/>
      <c r="AG76" s="61"/>
      <c r="AH76" s="71" t="s">
        <v>49</v>
      </c>
      <c r="AI76" s="95">
        <f t="shared" ref="AI76:AL76" si="143">AI74-AI67</f>
        <v>56.744440383810755</v>
      </c>
      <c r="AJ76" s="95">
        <f t="shared" si="143"/>
        <v>59.290449294919085</v>
      </c>
      <c r="AK76" s="95">
        <f t="shared" si="143"/>
        <v>63.330744829939349</v>
      </c>
      <c r="AL76" s="95">
        <f t="shared" si="143"/>
        <v>68.601815601603519</v>
      </c>
      <c r="AM76" s="95">
        <f>AM74-AM67</f>
        <v>74.84407102074239</v>
      </c>
      <c r="AN76" s="95">
        <f t="shared" ref="AN76:AQ76" si="144">AN74-AN67</f>
        <v>81.835571911482674</v>
      </c>
      <c r="AO76" s="95">
        <f t="shared" si="144"/>
        <v>89.400708572141482</v>
      </c>
      <c r="AP76" s="95">
        <f t="shared" si="144"/>
        <v>97.405916433872164</v>
      </c>
      <c r="AQ76" s="95">
        <f t="shared" si="144"/>
        <v>105.75130457561272</v>
      </c>
      <c r="AR76" s="96" t="s">
        <v>8</v>
      </c>
      <c r="AT76" s="94"/>
      <c r="AU76" s="89"/>
      <c r="AV76" s="61"/>
      <c r="AW76" s="71" t="s">
        <v>49</v>
      </c>
      <c r="AX76" s="95">
        <f t="shared" ref="AX76:BA76" si="145">AX74-AX67</f>
        <v>34.84407102074239</v>
      </c>
      <c r="AY76" s="95">
        <f t="shared" si="145"/>
        <v>44.84407102074239</v>
      </c>
      <c r="AZ76" s="95">
        <f t="shared" si="145"/>
        <v>54.84407102074239</v>
      </c>
      <c r="BA76" s="95">
        <f t="shared" si="145"/>
        <v>64.84407102074239</v>
      </c>
      <c r="BB76" s="95">
        <f>BB74-BB67</f>
        <v>74.84407102074239</v>
      </c>
      <c r="BC76" s="95">
        <f t="shared" ref="BC76:BF76" si="146">BC74-BC67</f>
        <v>84.84407102074239</v>
      </c>
      <c r="BD76" s="95">
        <f t="shared" si="146"/>
        <v>94.84407102074239</v>
      </c>
      <c r="BE76" s="95">
        <f t="shared" si="146"/>
        <v>104.84407102074239</v>
      </c>
      <c r="BF76" s="95">
        <f t="shared" si="146"/>
        <v>114.84407102074239</v>
      </c>
      <c r="BG76" s="96" t="s">
        <v>8</v>
      </c>
      <c r="BI76" s="94"/>
      <c r="BJ76" s="89"/>
      <c r="BK76" s="61"/>
      <c r="BL76" s="71" t="s">
        <v>49</v>
      </c>
      <c r="BM76" s="95">
        <f t="shared" ref="BM76:BP76" si="147">BM74-BM67</f>
        <v>103.14991860102253</v>
      </c>
      <c r="BN76" s="95">
        <f t="shared" si="147"/>
        <v>107.37482072847047</v>
      </c>
      <c r="BO76" s="95">
        <f t="shared" si="147"/>
        <v>114.97303399295322</v>
      </c>
      <c r="BP76" s="95">
        <f t="shared" si="147"/>
        <v>125.3325375336284</v>
      </c>
      <c r="BQ76" s="95">
        <f>BQ74-BQ67</f>
        <v>137.83211303499621</v>
      </c>
      <c r="BR76" s="95">
        <f t="shared" ref="BR76:BU76" si="148">BR74-BR67</f>
        <v>151.94452212161377</v>
      </c>
      <c r="BS76" s="95">
        <f t="shared" si="148"/>
        <v>167.26202265260088</v>
      </c>
      <c r="BT76" s="95">
        <f t="shared" si="148"/>
        <v>183.48305273488552</v>
      </c>
      <c r="BU76" s="95">
        <f t="shared" si="148"/>
        <v>200.38831567730284</v>
      </c>
      <c r="BV76" s="96" t="s">
        <v>1</v>
      </c>
      <c r="BX76" s="94"/>
      <c r="BY76" s="89"/>
      <c r="BZ76" s="61"/>
      <c r="CA76" s="71" t="s">
        <v>49</v>
      </c>
      <c r="CB76" s="95">
        <f t="shared" ref="CB76:CE76" si="149">CB74-CB67</f>
        <v>57.832113034996212</v>
      </c>
      <c r="CC76" s="95">
        <f t="shared" si="149"/>
        <v>77.832113034996212</v>
      </c>
      <c r="CD76" s="95">
        <f t="shared" si="149"/>
        <v>97.832113034996212</v>
      </c>
      <c r="CE76" s="95">
        <f t="shared" si="149"/>
        <v>117.83211303499621</v>
      </c>
      <c r="CF76" s="95">
        <f>CF74-CF67</f>
        <v>137.83211303499621</v>
      </c>
      <c r="CG76" s="95">
        <f t="shared" ref="CG76:CJ76" si="150">CG74-CG67</f>
        <v>157.83211303499621</v>
      </c>
      <c r="CH76" s="95">
        <f t="shared" si="150"/>
        <v>177.83211303499621</v>
      </c>
      <c r="CI76" s="95">
        <f t="shared" si="150"/>
        <v>197.83211303499621</v>
      </c>
      <c r="CJ76" s="95">
        <f t="shared" si="150"/>
        <v>217.83211303499621</v>
      </c>
      <c r="CK76" s="96" t="s">
        <v>1</v>
      </c>
      <c r="CL76" s="194"/>
      <c r="CM76" s="197">
        <v>73</v>
      </c>
      <c r="CN76" s="197">
        <f t="shared" si="127"/>
        <v>-0.67165728281198178</v>
      </c>
      <c r="CO76" s="197">
        <f t="shared" si="132"/>
        <v>39.391323116770991</v>
      </c>
      <c r="CP76" s="197">
        <f t="shared" si="133"/>
        <v>-1.3047518984044542</v>
      </c>
    </row>
    <row r="77" spans="1:94" ht="15.5" x14ac:dyDescent="0.35">
      <c r="A77" s="3" t="s">
        <v>102</v>
      </c>
      <c r="B77" s="27">
        <v>250</v>
      </c>
      <c r="C77" s="14" t="s">
        <v>1</v>
      </c>
      <c r="D77" s="16"/>
      <c r="E77" s="4">
        <f>B77*KphToMps</f>
        <v>69.444444444444443</v>
      </c>
      <c r="F77" s="3" t="s">
        <v>0</v>
      </c>
      <c r="G77" s="16"/>
      <c r="H77" s="5">
        <f>V3Nk*KphToKts</f>
        <v>134.90179149579106</v>
      </c>
      <c r="I77" s="3" t="s">
        <v>8</v>
      </c>
      <c r="AE77" s="84"/>
      <c r="AF77" s="89"/>
      <c r="AG77" s="61"/>
      <c r="AH77" s="71" t="s">
        <v>42</v>
      </c>
      <c r="AI77" s="95">
        <f t="shared" ref="AI77" si="151">-AI76/AI78</f>
        <v>11.948115758742793</v>
      </c>
      <c r="AJ77" s="95">
        <f t="shared" ref="AJ77" si="152">-AJ76/AJ78</f>
        <v>16.062993123827766</v>
      </c>
      <c r="AK77" s="95">
        <f t="shared" ref="AK77" si="153">-AK76/AK78</f>
        <v>21.278170690427761</v>
      </c>
      <c r="AL77" s="95">
        <f t="shared" ref="AL77" si="154">-AL76/AL78</f>
        <v>27.527688271778306</v>
      </c>
      <c r="AM77" s="95">
        <f>-AM76/AM78</f>
        <v>34.655408761512376</v>
      </c>
      <c r="AN77" s="95">
        <f t="shared" ref="AN77" si="155">-AN76/AN78</f>
        <v>42.469618432263886</v>
      </c>
      <c r="AO77" s="95">
        <f t="shared" ref="AO77" si="156">-AO76/AO78</f>
        <v>50.78702500000508</v>
      </c>
      <c r="AP77" s="95">
        <f t="shared" ref="AP77" si="157">-AP76/AP78</f>
        <v>59.455210540458566</v>
      </c>
      <c r="AQ77" s="95">
        <f t="shared" ref="AQ77" si="158">-AQ76/AQ78</f>
        <v>68.357891142027057</v>
      </c>
      <c r="AR77" s="96"/>
      <c r="AT77" s="84"/>
      <c r="AU77" s="89"/>
      <c r="AV77" s="61"/>
      <c r="AW77" s="71" t="s">
        <v>42</v>
      </c>
      <c r="AX77" s="95">
        <f t="shared" ref="AX77:BA77" si="159">-AX76/AX78</f>
        <v>16.13401713282455</v>
      </c>
      <c r="AY77" s="95">
        <f t="shared" si="159"/>
        <v>20.764365039996505</v>
      </c>
      <c r="AZ77" s="95">
        <f t="shared" si="159"/>
        <v>25.394712947168461</v>
      </c>
      <c r="BA77" s="95">
        <f t="shared" si="159"/>
        <v>30.025060854340417</v>
      </c>
      <c r="BB77" s="95">
        <f>-BB76/BB78</f>
        <v>34.655408761512376</v>
      </c>
      <c r="BC77" s="95">
        <f t="shared" ref="BC77:BF77" si="160">-BC76/BC78</f>
        <v>39.285756668684328</v>
      </c>
      <c r="BD77" s="95">
        <f t="shared" si="160"/>
        <v>43.916104575856281</v>
      </c>
      <c r="BE77" s="95">
        <f t="shared" si="160"/>
        <v>48.54645248302824</v>
      </c>
      <c r="BF77" s="95">
        <f t="shared" si="160"/>
        <v>53.176800390200192</v>
      </c>
      <c r="BG77" s="96"/>
      <c r="BI77" s="84"/>
      <c r="BJ77" s="89"/>
      <c r="BK77" s="61"/>
      <c r="BL77" s="71" t="s">
        <v>42</v>
      </c>
      <c r="BM77" s="95">
        <f>-BM76/BM78/MpsToKph</f>
        <v>10.9615644526674</v>
      </c>
      <c r="BN77" s="95">
        <f>-BN76/BN78/MpsToKph</f>
        <v>15.143939271823513</v>
      </c>
      <c r="BO77" s="95">
        <f>-BO76/BO78/MpsToKph</f>
        <v>20.61938660711942</v>
      </c>
      <c r="BP77" s="95">
        <f>-BP76/BP78/MpsToKph</f>
        <v>27.323360811766854</v>
      </c>
      <c r="BQ77" s="95">
        <f>-BQ76/BQ78/MpsToKph</f>
        <v>35.058870065862671</v>
      </c>
      <c r="BR77" s="95">
        <f>-BR76/BR78/MpsToKph</f>
        <v>43.578828765450581</v>
      </c>
      <c r="BS77" s="95">
        <f>-BS76/BS78/MpsToKph</f>
        <v>52.652023643110304</v>
      </c>
      <c r="BT77" s="95">
        <f>-BT76/BT78/MpsToKph</f>
        <v>62.093484046855949</v>
      </c>
      <c r="BU77" s="95">
        <f>-BU76/BU78/MpsToKph</f>
        <v>71.768440102485826</v>
      </c>
      <c r="BV77" s="96"/>
      <c r="BX77" s="84"/>
      <c r="BY77" s="89"/>
      <c r="BZ77" s="61"/>
      <c r="CA77" s="71" t="s">
        <v>42</v>
      </c>
      <c r="CB77" s="95">
        <f>-CB76/CB78/MpsToKph</f>
        <v>14.710131709389206</v>
      </c>
      <c r="CC77" s="95">
        <f>-CC76/CC78/MpsToKph</f>
        <v>19.797316298507571</v>
      </c>
      <c r="CD77" s="95">
        <f>-CD76/CD78/MpsToKph</f>
        <v>24.884500887625936</v>
      </c>
      <c r="CE77" s="95">
        <f>-CE76/CE78/MpsToKph</f>
        <v>29.971685476744305</v>
      </c>
      <c r="CF77" s="95">
        <f>-CF76/CF78/MpsToKph</f>
        <v>35.058870065862671</v>
      </c>
      <c r="CG77" s="95">
        <f>-CG76/CG78/MpsToKph</f>
        <v>40.146054654981029</v>
      </c>
      <c r="CH77" s="95">
        <f>-CH76/CH78/MpsToKph</f>
        <v>45.233239244099401</v>
      </c>
      <c r="CI77" s="95">
        <f>-CI76/CI78/MpsToKph</f>
        <v>50.320423833217767</v>
      </c>
      <c r="CJ77" s="95">
        <f>-CJ76/CJ78/MpsToKph</f>
        <v>55.407608422336132</v>
      </c>
      <c r="CK77" s="96"/>
      <c r="CL77" s="194"/>
      <c r="CM77" s="197">
        <v>74</v>
      </c>
      <c r="CN77" s="197">
        <f t="shared" si="127"/>
        <v>-0.66243893609801963</v>
      </c>
      <c r="CO77" s="197">
        <f t="shared" si="132"/>
        <v>39.930930282754154</v>
      </c>
      <c r="CP77" s="197">
        <f t="shared" si="133"/>
        <v>-1.2868444690011174</v>
      </c>
    </row>
    <row r="78" spans="1:94" ht="16" thickBot="1" x14ac:dyDescent="0.4">
      <c r="A78" s="32" t="s">
        <v>104</v>
      </c>
      <c r="B78" s="7">
        <f>-1*(aN*(V3Nk/100)^2+bN*V3Nk/100+cN)</f>
        <v>-2.7974999999999999</v>
      </c>
      <c r="C78" s="3" t="s">
        <v>0</v>
      </c>
      <c r="D78" s="16"/>
      <c r="E78" s="24">
        <f>B78*MpsToKph</f>
        <v>-10.071</v>
      </c>
      <c r="F78" s="3" t="s">
        <v>1</v>
      </c>
      <c r="G78" s="16"/>
      <c r="H78" s="5">
        <f>B78*MpsToKts</f>
        <v>-5.4343837686164473</v>
      </c>
      <c r="I78" s="3" t="s">
        <v>8</v>
      </c>
      <c r="AE78" s="97"/>
      <c r="AF78" s="64"/>
      <c r="AG78" s="65"/>
      <c r="AH78" s="98" t="s">
        <v>43</v>
      </c>
      <c r="AI78" s="191">
        <f t="shared" ref="AI78:AQ78" si="161">KphToKts*(aRprime*(AI74*KtsToKph)^2+bRprime*AI74*KtsToKph+cRprime)</f>
        <v>-4.7492375810210206</v>
      </c>
      <c r="AJ78" s="191">
        <f t="shared" si="161"/>
        <v>-3.6911208787712124</v>
      </c>
      <c r="AK78" s="191">
        <f t="shared" si="161"/>
        <v>-2.9763246921611284</v>
      </c>
      <c r="AL78" s="191">
        <f t="shared" si="161"/>
        <v>-2.4921023125626887</v>
      </c>
      <c r="AM78" s="191">
        <f t="shared" si="161"/>
        <v>-2.1596649324149011</v>
      </c>
      <c r="AN78" s="191">
        <f t="shared" si="161"/>
        <v>-1.9269203475892955</v>
      </c>
      <c r="AO78" s="191">
        <f t="shared" si="161"/>
        <v>-1.7603060736897376</v>
      </c>
      <c r="AP78" s="191">
        <f t="shared" si="161"/>
        <v>-1.6383074847172325</v>
      </c>
      <c r="AQ78" s="191">
        <f t="shared" si="161"/>
        <v>-1.5470240934714243</v>
      </c>
      <c r="AR78" s="99" t="s">
        <v>8</v>
      </c>
      <c r="AT78" s="97"/>
      <c r="AU78" s="64"/>
      <c r="AV78" s="65"/>
      <c r="AW78" s="98" t="s">
        <v>43</v>
      </c>
      <c r="AX78" s="191">
        <f t="shared" ref="AX78:BF78" si="162">KphToKts*(aRprime*(AX74*KtsToKph)^2+bRprime*AX74*KtsToKph+cRprime)</f>
        <v>-2.1596649324149011</v>
      </c>
      <c r="AY78" s="191">
        <f t="shared" si="162"/>
        <v>-2.1596649324149011</v>
      </c>
      <c r="AZ78" s="191">
        <f t="shared" si="162"/>
        <v>-2.1596649324149011</v>
      </c>
      <c r="BA78" s="191">
        <f t="shared" si="162"/>
        <v>-2.1596649324149011</v>
      </c>
      <c r="BB78" s="191">
        <f t="shared" si="162"/>
        <v>-2.1596649324149011</v>
      </c>
      <c r="BC78" s="191">
        <f t="shared" si="162"/>
        <v>-2.1596649324149011</v>
      </c>
      <c r="BD78" s="191">
        <f t="shared" si="162"/>
        <v>-2.1596649324149011</v>
      </c>
      <c r="BE78" s="191">
        <f t="shared" si="162"/>
        <v>-2.1596649324149011</v>
      </c>
      <c r="BF78" s="191">
        <f t="shared" si="162"/>
        <v>-2.1596649324149011</v>
      </c>
      <c r="BG78" s="99" t="s">
        <v>8</v>
      </c>
      <c r="BI78" s="97"/>
      <c r="BJ78" s="64"/>
      <c r="BK78" s="65"/>
      <c r="BL78" s="98" t="s">
        <v>43</v>
      </c>
      <c r="BM78" s="191">
        <f>KphToMps*(aRprime*BM74^2+bRprime*BM74+cRprime)</f>
        <v>-2.6139293611486552</v>
      </c>
      <c r="BN78" s="191">
        <f>KphToMps*(aRprime*BN74^2+bRprime*BN74+cRprime)</f>
        <v>-1.9695231574743592</v>
      </c>
      <c r="BO78" s="191">
        <f>KphToMps*(aRprime*BO74^2+bRprime*BO74+cRprime)</f>
        <v>-1.548879920409675</v>
      </c>
      <c r="BP78" s="191">
        <f>KphToMps*(aRprime*BP74^2+bRprime*BP74+cRprime)</f>
        <v>-1.2741695283820376</v>
      </c>
      <c r="BQ78" s="191">
        <f>KphToMps*(aRprime*BQ74^2+bRprime*BQ74+cRprime)</f>
        <v>-1.0920687972359109</v>
      </c>
      <c r="BR78" s="191">
        <f>KphToMps*(aRprime*BR74^2+bRprime*BR74+cRprime)</f>
        <v>-0.96851643093973994</v>
      </c>
      <c r="BS78" s="191">
        <f>KphToMps*(aRprime*BS74^2+bRprime*BS74+cRprime)</f>
        <v>-0.88242900736324248</v>
      </c>
      <c r="BT78" s="191">
        <f>KphToMps*(aRprime*BT74^2+bRprime*BT74+cRprime)</f>
        <v>-0.82081905099928121</v>
      </c>
      <c r="BU78" s="191">
        <f>KphToMps*(aRprime*BU74^2+bRprime*BU74+cRprime)</f>
        <v>-0.77559747629996223</v>
      </c>
      <c r="BV78" s="99" t="s">
        <v>0</v>
      </c>
      <c r="BX78" s="97"/>
      <c r="BY78" s="64"/>
      <c r="BZ78" s="65"/>
      <c r="CA78" s="98" t="s">
        <v>43</v>
      </c>
      <c r="CB78" s="191">
        <f>KphToMps*(aRprime*CB74^2+bRprime*CB74+cRprime)</f>
        <v>-1.0920687972359109</v>
      </c>
      <c r="CC78" s="191">
        <f>KphToMps*(aRprime*CC74^2+bRprime*CC74+cRprime)</f>
        <v>-1.0920687972359109</v>
      </c>
      <c r="CD78" s="191">
        <f>KphToMps*(aRprime*CD74^2+bRprime*CD74+cRprime)</f>
        <v>-1.0920687972359109</v>
      </c>
      <c r="CE78" s="191">
        <f>KphToMps*(aRprime*CE74^2+bRprime*CE74+cRprime)</f>
        <v>-1.0920687972359109</v>
      </c>
      <c r="CF78" s="191">
        <f>KphToMps*(aRprime*CF74^2+bRprime*CF74+cRprime)</f>
        <v>-1.0920687972359109</v>
      </c>
      <c r="CG78" s="191">
        <f>KphToMps*(aRprime*CG74^2+bRprime*CG74+cRprime)</f>
        <v>-1.0920687972359109</v>
      </c>
      <c r="CH78" s="191">
        <f>KphToMps*(aRprime*CH74^2+bRprime*CH74+cRprime)</f>
        <v>-1.0920687972359109</v>
      </c>
      <c r="CI78" s="191">
        <f>KphToMps*(aRprime*CI74^2+bRprime*CI74+cRprime)</f>
        <v>-1.0920687972359109</v>
      </c>
      <c r="CJ78" s="191">
        <f>KphToMps*(aRprime*CJ74^2+bRprime*CJ74+cRprime)</f>
        <v>-1.0920687972359109</v>
      </c>
      <c r="CK78" s="99" t="s">
        <v>0</v>
      </c>
      <c r="CL78" s="194"/>
      <c r="CM78" s="197">
        <v>75</v>
      </c>
      <c r="CN78" s="197">
        <f t="shared" si="127"/>
        <v>-0.65371259769735868</v>
      </c>
      <c r="CO78" s="197">
        <f t="shared" si="132"/>
        <v>40.470537448737318</v>
      </c>
      <c r="CP78" s="197">
        <f t="shared" si="133"/>
        <v>-1.2698928079594707</v>
      </c>
    </row>
    <row r="79" spans="1:94" ht="16" thickTop="1" x14ac:dyDescent="0.35">
      <c r="A79" s="32" t="s">
        <v>105</v>
      </c>
      <c r="B79" s="3">
        <f>IF(Method="C",(W2C+V2C/E1C)/(V1C^2+V2C^2-2*V1C*V2C),IF(Method="R",((V2R-V3R)*(W1R-W3R)+(V3R-V1R)*(W2R-W3R))/(V1R^2*(V2R-V3R)+V2R^2*(V3R-V1R)+V3R^2*(V1R-V2R)),IF(Method="N",((V2Nk-V3Nk)*(W1Nk-W3Nk)+(V3Nk-V1Nk)*(W2Nk-W3Nk))/(V1Nk^2*(V2Nk-V3Nk)+V2Nk^2*(V3Nk-V1Nk)+V3Nk^2*(V1Nk-V2Nk)),"None")))</f>
        <v>-9.617085604927551E-4</v>
      </c>
      <c r="C79" s="3" t="s">
        <v>2</v>
      </c>
      <c r="D79" s="16"/>
      <c r="E79" s="16"/>
      <c r="F79" s="16"/>
      <c r="G79" s="16"/>
      <c r="H79" s="16"/>
      <c r="I79" s="20"/>
      <c r="AE79" s="66" t="s">
        <v>16</v>
      </c>
      <c r="AF79" s="67"/>
      <c r="AG79" s="68"/>
      <c r="AH79" s="69"/>
      <c r="AI79" s="45" t="s">
        <v>34</v>
      </c>
      <c r="AJ79" s="51"/>
      <c r="AK79" s="51"/>
      <c r="AL79" s="51"/>
      <c r="AM79" s="70" t="s">
        <v>35</v>
      </c>
      <c r="AN79" s="51"/>
      <c r="AO79" s="51"/>
      <c r="AP79" s="51"/>
      <c r="AQ79" s="71" t="s">
        <v>36</v>
      </c>
      <c r="AR79" s="72" t="s">
        <v>37</v>
      </c>
      <c r="AT79" s="66" t="s">
        <v>16</v>
      </c>
      <c r="AU79" s="67"/>
      <c r="AV79" s="68"/>
      <c r="AW79" s="69"/>
      <c r="AX79" s="45" t="s">
        <v>34</v>
      </c>
      <c r="AY79" s="51"/>
      <c r="AZ79" s="51"/>
      <c r="BA79" s="51"/>
      <c r="BB79" s="70" t="s">
        <v>35</v>
      </c>
      <c r="BC79" s="51"/>
      <c r="BD79" s="51"/>
      <c r="BE79" s="51"/>
      <c r="BF79" s="71" t="s">
        <v>36</v>
      </c>
      <c r="BG79" s="72" t="s">
        <v>37</v>
      </c>
      <c r="BI79" s="66" t="s">
        <v>16</v>
      </c>
      <c r="BJ79" s="67"/>
      <c r="BK79" s="68"/>
      <c r="BL79" s="69"/>
      <c r="BM79" s="45" t="s">
        <v>34</v>
      </c>
      <c r="BN79" s="51"/>
      <c r="BO79" s="51"/>
      <c r="BP79" s="51"/>
      <c r="BQ79" s="70" t="s">
        <v>35</v>
      </c>
      <c r="BR79" s="51"/>
      <c r="BS79" s="51"/>
      <c r="BT79" s="51"/>
      <c r="BU79" s="71" t="s">
        <v>36</v>
      </c>
      <c r="BV79" s="72" t="s">
        <v>37</v>
      </c>
      <c r="BX79" s="66" t="s">
        <v>16</v>
      </c>
      <c r="BY79" s="67"/>
      <c r="BZ79" s="68"/>
      <c r="CA79" s="69"/>
      <c r="CB79" s="45" t="s">
        <v>34</v>
      </c>
      <c r="CC79" s="51"/>
      <c r="CD79" s="51"/>
      <c r="CE79" s="51"/>
      <c r="CF79" s="70" t="s">
        <v>35</v>
      </c>
      <c r="CG79" s="51"/>
      <c r="CH79" s="51"/>
      <c r="CI79" s="51"/>
      <c r="CJ79" s="71" t="s">
        <v>36</v>
      </c>
      <c r="CK79" s="72" t="s">
        <v>37</v>
      </c>
      <c r="CL79" s="193"/>
      <c r="CM79" s="197">
        <v>76</v>
      </c>
      <c r="CN79" s="197">
        <f t="shared" si="127"/>
        <v>-0.64547826761000016</v>
      </c>
      <c r="CO79" s="197">
        <f t="shared" si="132"/>
        <v>41.010144614720481</v>
      </c>
      <c r="CP79" s="197">
        <f t="shared" si="133"/>
        <v>-1.253896915279517</v>
      </c>
    </row>
    <row r="80" spans="1:94" ht="15.5" x14ac:dyDescent="0.35">
      <c r="A80" s="32" t="s">
        <v>106</v>
      </c>
      <c r="B80" s="3">
        <f>IF(Method="C",-1/E1C-2*aR*V1C, IF(Method="R",(W2R-W3R-aR*(V2R^2-V3R^2))/(V2R-V3R),IF(Method="N",(W2Nk-W3Nk-aR*(V2Nk^2-V3Nk^2))/(V2Nk-V3Nk),"None")))</f>
        <v>0.16337144786992813</v>
      </c>
      <c r="C80" s="3"/>
      <c r="D80" s="16"/>
      <c r="E80" s="16"/>
      <c r="F80" s="16"/>
      <c r="G80" s="16"/>
      <c r="H80" s="16"/>
      <c r="I80" s="20"/>
      <c r="AE80" s="73" t="s">
        <v>8</v>
      </c>
      <c r="AF80" s="74"/>
      <c r="AG80" s="75"/>
      <c r="AH80" s="76"/>
      <c r="AI80" s="77">
        <v>40</v>
      </c>
      <c r="AJ80" s="78">
        <v>30</v>
      </c>
      <c r="AK80" s="78">
        <v>20</v>
      </c>
      <c r="AL80" s="78">
        <v>10</v>
      </c>
      <c r="AM80" s="78">
        <v>0</v>
      </c>
      <c r="AN80" s="78">
        <v>-10</v>
      </c>
      <c r="AO80" s="78">
        <v>-20</v>
      </c>
      <c r="AP80" s="78">
        <v>-30</v>
      </c>
      <c r="AQ80" s="79">
        <v>-40</v>
      </c>
      <c r="AR80" s="80" t="s">
        <v>8</v>
      </c>
      <c r="AT80" s="73" t="s">
        <v>8</v>
      </c>
      <c r="AU80" s="74"/>
      <c r="AV80" s="75"/>
      <c r="AW80" s="76"/>
      <c r="AX80" s="77">
        <v>40</v>
      </c>
      <c r="AY80" s="78">
        <v>30</v>
      </c>
      <c r="AZ80" s="78">
        <v>20</v>
      </c>
      <c r="BA80" s="78">
        <v>10</v>
      </c>
      <c r="BB80" s="78">
        <v>0</v>
      </c>
      <c r="BC80" s="78">
        <v>-10</v>
      </c>
      <c r="BD80" s="78">
        <v>-20</v>
      </c>
      <c r="BE80" s="78">
        <v>-30</v>
      </c>
      <c r="BF80" s="79">
        <v>-40</v>
      </c>
      <c r="BG80" s="80" t="s">
        <v>8</v>
      </c>
      <c r="BI80" s="73" t="s">
        <v>0</v>
      </c>
      <c r="BJ80" s="74"/>
      <c r="BK80" s="75"/>
      <c r="BL80" s="76"/>
      <c r="BM80" s="77">
        <v>80</v>
      </c>
      <c r="BN80" s="78">
        <v>60</v>
      </c>
      <c r="BO80" s="78">
        <v>40</v>
      </c>
      <c r="BP80" s="78">
        <v>20</v>
      </c>
      <c r="BQ80" s="78">
        <v>0</v>
      </c>
      <c r="BR80" s="78">
        <v>-20</v>
      </c>
      <c r="BS80" s="78">
        <v>-40</v>
      </c>
      <c r="BT80" s="78">
        <v>-60</v>
      </c>
      <c r="BU80" s="79">
        <v>-80</v>
      </c>
      <c r="BV80" s="80" t="s">
        <v>1</v>
      </c>
      <c r="BX80" s="73" t="s">
        <v>0</v>
      </c>
      <c r="BY80" s="74"/>
      <c r="BZ80" s="75"/>
      <c r="CA80" s="76"/>
      <c r="CB80" s="77">
        <v>80</v>
      </c>
      <c r="CC80" s="78">
        <v>60</v>
      </c>
      <c r="CD80" s="78">
        <v>40</v>
      </c>
      <c r="CE80" s="78">
        <v>20</v>
      </c>
      <c r="CF80" s="78">
        <v>0</v>
      </c>
      <c r="CG80" s="78">
        <v>-20</v>
      </c>
      <c r="CH80" s="78">
        <v>-40</v>
      </c>
      <c r="CI80" s="78">
        <v>-60</v>
      </c>
      <c r="CJ80" s="79">
        <v>-80</v>
      </c>
      <c r="CK80" s="80" t="s">
        <v>1</v>
      </c>
      <c r="CL80" s="193"/>
      <c r="CM80" s="197">
        <v>77</v>
      </c>
      <c r="CN80" s="197">
        <f t="shared" si="127"/>
        <v>-0.6377359458359434</v>
      </c>
      <c r="CO80" s="197">
        <f t="shared" si="132"/>
        <v>41.549751780703652</v>
      </c>
      <c r="CP80" s="197">
        <f t="shared" si="133"/>
        <v>-1.238856790961254</v>
      </c>
    </row>
    <row r="81" spans="1:94" ht="15.5" x14ac:dyDescent="0.35">
      <c r="A81" s="32" t="s">
        <v>107</v>
      </c>
      <c r="B81" s="3">
        <f>IF(Method="C",aR*V1C^2,IF(Method="R",W3R-aR*V3R^2-bR*V3R,IF(Method="N",W3Nk-aR*V3Nk^2-bR*V3Nk,"None")))</f>
        <v>-8.8631060935012318</v>
      </c>
      <c r="C81" s="3" t="s">
        <v>1</v>
      </c>
      <c r="D81" s="16"/>
      <c r="E81" s="16"/>
      <c r="F81" s="16"/>
      <c r="G81" s="16"/>
      <c r="H81" s="16"/>
      <c r="I81" s="20"/>
      <c r="AE81" s="66">
        <v>5</v>
      </c>
      <c r="AF81" s="81" t="s">
        <v>38</v>
      </c>
      <c r="AG81" s="60">
        <v>5</v>
      </c>
      <c r="AH81" s="71" t="s">
        <v>39</v>
      </c>
      <c r="AI81" s="82">
        <f t="shared" ref="AI81:AQ86" si="163">ROUND($AG81*SmiToFt/AI$90+$AI$11+$AI$12,-2)</f>
        <v>4300</v>
      </c>
      <c r="AJ81" s="82">
        <f t="shared" si="163"/>
        <v>3700</v>
      </c>
      <c r="AK81" s="82">
        <f t="shared" si="163"/>
        <v>3300</v>
      </c>
      <c r="AL81" s="82">
        <f t="shared" si="163"/>
        <v>3000</v>
      </c>
      <c r="AM81" s="83">
        <f t="shared" si="163"/>
        <v>2800</v>
      </c>
      <c r="AN81" s="82">
        <f t="shared" si="163"/>
        <v>2600</v>
      </c>
      <c r="AO81" s="82">
        <f t="shared" si="163"/>
        <v>2500</v>
      </c>
      <c r="AP81" s="82">
        <f t="shared" si="163"/>
        <v>2400</v>
      </c>
      <c r="AQ81" s="82">
        <f t="shared" si="163"/>
        <v>2300</v>
      </c>
      <c r="AR81" s="72" t="s">
        <v>33</v>
      </c>
      <c r="AT81" s="66">
        <v>5</v>
      </c>
      <c r="AU81" s="81" t="s">
        <v>38</v>
      </c>
      <c r="AV81" s="60">
        <v>5</v>
      </c>
      <c r="AW81" s="71" t="s">
        <v>39</v>
      </c>
      <c r="AX81" s="82">
        <f t="shared" ref="AX81:BF86" si="164">ROUND($AV81*SmiToFt/AX$90+$AX$11+$AX$12,-2)</f>
        <v>3600</v>
      </c>
      <c r="AY81" s="82">
        <f t="shared" si="164"/>
        <v>3300</v>
      </c>
      <c r="AZ81" s="82">
        <f t="shared" si="164"/>
        <v>3000</v>
      </c>
      <c r="BA81" s="82">
        <f t="shared" si="164"/>
        <v>2900</v>
      </c>
      <c r="BB81" s="83">
        <f t="shared" si="164"/>
        <v>2800</v>
      </c>
      <c r="BC81" s="82">
        <f t="shared" si="164"/>
        <v>2700</v>
      </c>
      <c r="BD81" s="82">
        <f t="shared" si="164"/>
        <v>2600</v>
      </c>
      <c r="BE81" s="82">
        <f t="shared" si="164"/>
        <v>2500</v>
      </c>
      <c r="BF81" s="82">
        <f t="shared" si="164"/>
        <v>2500</v>
      </c>
      <c r="BG81" s="72" t="s">
        <v>33</v>
      </c>
      <c r="BI81" s="66">
        <v>2.5</v>
      </c>
      <c r="BJ81" s="81" t="s">
        <v>38</v>
      </c>
      <c r="BK81" s="60">
        <v>10</v>
      </c>
      <c r="BL81" s="71" t="s">
        <v>170</v>
      </c>
      <c r="BM81" s="82">
        <f t="shared" ref="BM81:BU86" si="165">ROUND($BK81*1000/BM$90+$BM$11+$BM$12,-1)</f>
        <v>1560</v>
      </c>
      <c r="BN81" s="82">
        <f t="shared" si="165"/>
        <v>1300</v>
      </c>
      <c r="BO81" s="82">
        <f t="shared" si="165"/>
        <v>1110</v>
      </c>
      <c r="BP81" s="82">
        <f t="shared" si="165"/>
        <v>980</v>
      </c>
      <c r="BQ81" s="83">
        <f t="shared" si="165"/>
        <v>890</v>
      </c>
      <c r="BR81" s="82">
        <f t="shared" si="165"/>
        <v>830</v>
      </c>
      <c r="BS81" s="82">
        <f t="shared" si="165"/>
        <v>790</v>
      </c>
      <c r="BT81" s="82">
        <f t="shared" si="165"/>
        <v>750</v>
      </c>
      <c r="BU81" s="82">
        <f t="shared" si="165"/>
        <v>730</v>
      </c>
      <c r="BV81" s="72" t="s">
        <v>164</v>
      </c>
      <c r="BX81" s="66">
        <v>2.5</v>
      </c>
      <c r="BY81" s="81" t="s">
        <v>38</v>
      </c>
      <c r="BZ81" s="60">
        <v>10</v>
      </c>
      <c r="CA81" s="71" t="s">
        <v>170</v>
      </c>
      <c r="CB81" s="82">
        <f t="shared" ref="CB81:CJ86" si="166">ROUND($BZ81*1000/CB$90+$CB$11+$CB$12,-1)</f>
        <v>1280</v>
      </c>
      <c r="CC81" s="82">
        <f t="shared" si="166"/>
        <v>1120</v>
      </c>
      <c r="CD81" s="82">
        <f t="shared" si="166"/>
        <v>1010</v>
      </c>
      <c r="CE81" s="82">
        <f t="shared" si="166"/>
        <v>940</v>
      </c>
      <c r="CF81" s="83">
        <f>ROUND($BZ81*1000/CF$90+$CB$11+$CB$12,-1)</f>
        <v>890</v>
      </c>
      <c r="CG81" s="82">
        <f t="shared" si="166"/>
        <v>860</v>
      </c>
      <c r="CH81" s="82">
        <f t="shared" si="166"/>
        <v>830</v>
      </c>
      <c r="CI81" s="82">
        <f t="shared" si="166"/>
        <v>800</v>
      </c>
      <c r="CJ81" s="82">
        <f t="shared" si="166"/>
        <v>780</v>
      </c>
      <c r="CK81" s="72" t="s">
        <v>164</v>
      </c>
      <c r="CL81" s="193"/>
      <c r="CM81" s="197">
        <v>78</v>
      </c>
      <c r="CN81" s="197">
        <f t="shared" si="127"/>
        <v>-0.63048563237518784</v>
      </c>
      <c r="CO81" s="197">
        <f t="shared" si="132"/>
        <v>42.089358946686815</v>
      </c>
      <c r="CP81" s="197">
        <f t="shared" si="133"/>
        <v>-1.224772435004682</v>
      </c>
    </row>
    <row r="82" spans="1:94" ht="15.5" x14ac:dyDescent="0.35">
      <c r="A82" s="32" t="s">
        <v>108</v>
      </c>
      <c r="B82" s="31">
        <f>aR/SqrRtRatio</f>
        <v>-8.8561496394328908E-4</v>
      </c>
      <c r="C82" s="3" t="s">
        <v>2</v>
      </c>
      <c r="D82" s="16"/>
      <c r="E82" s="16"/>
      <c r="F82" s="16"/>
      <c r="G82" s="16"/>
      <c r="H82" s="16"/>
      <c r="I82" s="20"/>
      <c r="AE82" s="84"/>
      <c r="AF82" s="53"/>
      <c r="AG82" s="85">
        <v>10</v>
      </c>
      <c r="AH82" s="86" t="s">
        <v>39</v>
      </c>
      <c r="AI82" s="82">
        <f t="shared" si="163"/>
        <v>6700</v>
      </c>
      <c r="AJ82" s="82">
        <f t="shared" si="163"/>
        <v>5500</v>
      </c>
      <c r="AK82" s="82">
        <f t="shared" si="163"/>
        <v>4700</v>
      </c>
      <c r="AL82" s="82">
        <f t="shared" si="163"/>
        <v>4000</v>
      </c>
      <c r="AM82" s="83">
        <f t="shared" si="163"/>
        <v>3600</v>
      </c>
      <c r="AN82" s="82">
        <f t="shared" si="163"/>
        <v>3300</v>
      </c>
      <c r="AO82" s="82">
        <f t="shared" si="163"/>
        <v>3100</v>
      </c>
      <c r="AP82" s="82">
        <f t="shared" si="163"/>
        <v>2900</v>
      </c>
      <c r="AQ82" s="82">
        <f t="shared" si="163"/>
        <v>2800</v>
      </c>
      <c r="AR82" s="87" t="s">
        <v>33</v>
      </c>
      <c r="AT82" s="84"/>
      <c r="AU82" s="53"/>
      <c r="AV82" s="85">
        <v>10</v>
      </c>
      <c r="AW82" s="86" t="s">
        <v>39</v>
      </c>
      <c r="AX82" s="82">
        <f t="shared" si="164"/>
        <v>5300</v>
      </c>
      <c r="AY82" s="82">
        <f t="shared" si="164"/>
        <v>4600</v>
      </c>
      <c r="AZ82" s="82">
        <f t="shared" si="164"/>
        <v>4200</v>
      </c>
      <c r="BA82" s="82">
        <f t="shared" si="164"/>
        <v>3800</v>
      </c>
      <c r="BB82" s="83">
        <f t="shared" si="164"/>
        <v>3600</v>
      </c>
      <c r="BC82" s="82">
        <f t="shared" si="164"/>
        <v>3400</v>
      </c>
      <c r="BD82" s="82">
        <f t="shared" si="164"/>
        <v>3300</v>
      </c>
      <c r="BE82" s="82">
        <f t="shared" si="164"/>
        <v>3100</v>
      </c>
      <c r="BF82" s="82">
        <f t="shared" si="164"/>
        <v>3000</v>
      </c>
      <c r="BG82" s="87" t="s">
        <v>33</v>
      </c>
      <c r="BI82" s="84"/>
      <c r="BJ82" s="53"/>
      <c r="BK82" s="85">
        <v>20</v>
      </c>
      <c r="BL82" s="86" t="s">
        <v>170</v>
      </c>
      <c r="BM82" s="82">
        <f t="shared" si="165"/>
        <v>2540</v>
      </c>
      <c r="BN82" s="82">
        <f t="shared" si="165"/>
        <v>2020</v>
      </c>
      <c r="BO82" s="82">
        <f t="shared" si="165"/>
        <v>1650</v>
      </c>
      <c r="BP82" s="82">
        <f t="shared" si="165"/>
        <v>1390</v>
      </c>
      <c r="BQ82" s="83">
        <f t="shared" si="165"/>
        <v>1210</v>
      </c>
      <c r="BR82" s="82">
        <f t="shared" si="165"/>
        <v>1080</v>
      </c>
      <c r="BS82" s="82">
        <f t="shared" si="165"/>
        <v>990</v>
      </c>
      <c r="BT82" s="82">
        <f t="shared" si="165"/>
        <v>930</v>
      </c>
      <c r="BU82" s="82">
        <f t="shared" si="165"/>
        <v>880</v>
      </c>
      <c r="BV82" s="87" t="s">
        <v>164</v>
      </c>
      <c r="BX82" s="84"/>
      <c r="BY82" s="53"/>
      <c r="BZ82" s="85">
        <v>20</v>
      </c>
      <c r="CA82" s="86" t="s">
        <v>170</v>
      </c>
      <c r="CB82" s="82">
        <f t="shared" si="166"/>
        <v>1980</v>
      </c>
      <c r="CC82" s="82">
        <f t="shared" si="166"/>
        <v>1650</v>
      </c>
      <c r="CD82" s="82">
        <f t="shared" si="166"/>
        <v>1450</v>
      </c>
      <c r="CE82" s="82">
        <f t="shared" si="166"/>
        <v>1310</v>
      </c>
      <c r="CF82" s="83">
        <f t="shared" ref="CF82:CF86" si="167">ROUND($BZ82*1000/CF$90+$CB$11+$CB$12,-1)</f>
        <v>1210</v>
      </c>
      <c r="CG82" s="82">
        <f t="shared" si="166"/>
        <v>1130</v>
      </c>
      <c r="CH82" s="82">
        <f t="shared" si="166"/>
        <v>1070</v>
      </c>
      <c r="CI82" s="82">
        <f t="shared" si="166"/>
        <v>1020</v>
      </c>
      <c r="CJ82" s="82">
        <f t="shared" si="166"/>
        <v>990</v>
      </c>
      <c r="CK82" s="87" t="s">
        <v>164</v>
      </c>
      <c r="CL82" s="193"/>
      <c r="CM82" s="197">
        <v>79</v>
      </c>
      <c r="CN82" s="197">
        <f t="shared" si="127"/>
        <v>-0.62372732722773483</v>
      </c>
      <c r="CO82" s="197">
        <f t="shared" si="132"/>
        <v>42.628966112669978</v>
      </c>
      <c r="CP82" s="197">
        <f t="shared" si="133"/>
        <v>-1.2116438474098021</v>
      </c>
    </row>
    <row r="83" spans="1:94" ht="15.5" x14ac:dyDescent="0.35">
      <c r="A83" s="32" t="s">
        <v>109</v>
      </c>
      <c r="B83" s="31">
        <f>bR</f>
        <v>0.16337144786992813</v>
      </c>
      <c r="C83" s="3"/>
      <c r="D83" s="16"/>
      <c r="E83" s="16"/>
      <c r="F83" s="16"/>
      <c r="G83" s="16"/>
      <c r="H83" s="16"/>
      <c r="I83" s="20"/>
      <c r="AE83" s="84"/>
      <c r="AF83" s="53"/>
      <c r="AG83" s="85">
        <v>20</v>
      </c>
      <c r="AH83" s="86" t="s">
        <v>39</v>
      </c>
      <c r="AI83" s="82">
        <f t="shared" si="163"/>
        <v>11400</v>
      </c>
      <c r="AJ83" s="82">
        <f t="shared" si="163"/>
        <v>9100</v>
      </c>
      <c r="AK83" s="82">
        <f t="shared" si="163"/>
        <v>7400</v>
      </c>
      <c r="AL83" s="82">
        <f t="shared" si="163"/>
        <v>6200</v>
      </c>
      <c r="AM83" s="83">
        <f t="shared" si="163"/>
        <v>5300</v>
      </c>
      <c r="AN83" s="82">
        <f t="shared" si="163"/>
        <v>4700</v>
      </c>
      <c r="AO83" s="82">
        <f t="shared" si="163"/>
        <v>4200</v>
      </c>
      <c r="AP83" s="82">
        <f t="shared" si="163"/>
        <v>3800</v>
      </c>
      <c r="AQ83" s="82">
        <f t="shared" si="163"/>
        <v>3600</v>
      </c>
      <c r="AR83" s="87" t="s">
        <v>33</v>
      </c>
      <c r="AT83" s="84"/>
      <c r="AU83" s="53"/>
      <c r="AV83" s="85">
        <v>20</v>
      </c>
      <c r="AW83" s="86" t="s">
        <v>39</v>
      </c>
      <c r="AX83" s="82">
        <f t="shared" si="164"/>
        <v>8800</v>
      </c>
      <c r="AY83" s="82">
        <f t="shared" si="164"/>
        <v>7400</v>
      </c>
      <c r="AZ83" s="82">
        <f t="shared" si="164"/>
        <v>6400</v>
      </c>
      <c r="BA83" s="82">
        <f t="shared" si="164"/>
        <v>5800</v>
      </c>
      <c r="BB83" s="83">
        <f t="shared" si="164"/>
        <v>5300</v>
      </c>
      <c r="BC83" s="82">
        <f t="shared" si="164"/>
        <v>4900</v>
      </c>
      <c r="BD83" s="82">
        <f t="shared" si="164"/>
        <v>4600</v>
      </c>
      <c r="BE83" s="82">
        <f t="shared" si="164"/>
        <v>4400</v>
      </c>
      <c r="BF83" s="82">
        <f t="shared" si="164"/>
        <v>4200</v>
      </c>
      <c r="BG83" s="87" t="s">
        <v>33</v>
      </c>
      <c r="BI83" s="84"/>
      <c r="BJ83" s="53"/>
      <c r="BK83" s="85">
        <v>30</v>
      </c>
      <c r="BL83" s="86" t="s">
        <v>170</v>
      </c>
      <c r="BM83" s="82">
        <f t="shared" si="165"/>
        <v>3510</v>
      </c>
      <c r="BN83" s="82">
        <f t="shared" si="165"/>
        <v>2740</v>
      </c>
      <c r="BO83" s="82">
        <f t="shared" si="165"/>
        <v>2180</v>
      </c>
      <c r="BP83" s="82">
        <f t="shared" si="165"/>
        <v>1790</v>
      </c>
      <c r="BQ83" s="83">
        <f t="shared" si="165"/>
        <v>1520</v>
      </c>
      <c r="BR83" s="82">
        <f t="shared" si="165"/>
        <v>1330</v>
      </c>
      <c r="BS83" s="82">
        <f t="shared" si="165"/>
        <v>1200</v>
      </c>
      <c r="BT83" s="82">
        <f t="shared" si="165"/>
        <v>1100</v>
      </c>
      <c r="BU83" s="82">
        <f t="shared" si="165"/>
        <v>1030</v>
      </c>
      <c r="BV83" s="87" t="s">
        <v>164</v>
      </c>
      <c r="BX83" s="84"/>
      <c r="BY83" s="53"/>
      <c r="BZ83" s="85">
        <v>30</v>
      </c>
      <c r="CA83" s="86" t="s">
        <v>170</v>
      </c>
      <c r="CB83" s="82">
        <f t="shared" si="166"/>
        <v>2680</v>
      </c>
      <c r="CC83" s="82">
        <f t="shared" si="166"/>
        <v>2190</v>
      </c>
      <c r="CD83" s="82">
        <f t="shared" si="166"/>
        <v>1880</v>
      </c>
      <c r="CE83" s="82">
        <f t="shared" si="166"/>
        <v>1670</v>
      </c>
      <c r="CF83" s="83">
        <f t="shared" si="167"/>
        <v>1520</v>
      </c>
      <c r="CG83" s="82">
        <f t="shared" si="166"/>
        <v>1410</v>
      </c>
      <c r="CH83" s="82">
        <f t="shared" si="166"/>
        <v>1320</v>
      </c>
      <c r="CI83" s="82">
        <f t="shared" si="166"/>
        <v>1250</v>
      </c>
      <c r="CJ83" s="82">
        <f t="shared" si="166"/>
        <v>1190</v>
      </c>
      <c r="CK83" s="87" t="s">
        <v>164</v>
      </c>
      <c r="CL83" s="193"/>
      <c r="CM83" s="197">
        <v>80</v>
      </c>
      <c r="CN83" s="197">
        <f t="shared" si="127"/>
        <v>-0.61746103039358313</v>
      </c>
      <c r="CO83" s="197">
        <f t="shared" si="132"/>
        <v>43.168573278653142</v>
      </c>
      <c r="CP83" s="197">
        <f t="shared" si="133"/>
        <v>-1.1994710281766132</v>
      </c>
    </row>
    <row r="84" spans="1:94" ht="15.5" x14ac:dyDescent="0.35">
      <c r="A84" s="32" t="s">
        <v>110</v>
      </c>
      <c r="B84" s="31">
        <f>cR*SqrRtRatio</f>
        <v>-9.6246397697741006</v>
      </c>
      <c r="C84" s="3" t="s">
        <v>1</v>
      </c>
      <c r="D84" s="16"/>
      <c r="E84" s="16"/>
      <c r="F84" s="16"/>
      <c r="G84" s="16"/>
      <c r="H84" s="16"/>
      <c r="I84" s="20"/>
      <c r="AE84" s="84"/>
      <c r="AF84" s="53"/>
      <c r="AG84" s="85">
        <v>30</v>
      </c>
      <c r="AH84" s="86" t="s">
        <v>39</v>
      </c>
      <c r="AI84" s="82">
        <f t="shared" si="163"/>
        <v>16200</v>
      </c>
      <c r="AJ84" s="82">
        <f t="shared" si="163"/>
        <v>12700</v>
      </c>
      <c r="AK84" s="82">
        <f t="shared" si="163"/>
        <v>10100</v>
      </c>
      <c r="AL84" s="82">
        <f t="shared" si="163"/>
        <v>8300</v>
      </c>
      <c r="AM84" s="83">
        <f t="shared" si="163"/>
        <v>7000</v>
      </c>
      <c r="AN84" s="82">
        <f t="shared" si="163"/>
        <v>6000</v>
      </c>
      <c r="AO84" s="82">
        <f t="shared" si="163"/>
        <v>5300</v>
      </c>
      <c r="AP84" s="82">
        <f t="shared" si="163"/>
        <v>4800</v>
      </c>
      <c r="AQ84" s="82">
        <f t="shared" si="163"/>
        <v>4400</v>
      </c>
      <c r="AR84" s="87" t="s">
        <v>33</v>
      </c>
      <c r="AT84" s="84"/>
      <c r="AU84" s="53"/>
      <c r="AV84" s="85">
        <v>30</v>
      </c>
      <c r="AW84" s="86" t="s">
        <v>39</v>
      </c>
      <c r="AX84" s="82">
        <f t="shared" si="164"/>
        <v>12200</v>
      </c>
      <c r="AY84" s="82">
        <f t="shared" si="164"/>
        <v>10100</v>
      </c>
      <c r="AZ84" s="82">
        <f t="shared" si="164"/>
        <v>8700</v>
      </c>
      <c r="BA84" s="82">
        <f t="shared" si="164"/>
        <v>7700</v>
      </c>
      <c r="BB84" s="83">
        <f t="shared" si="164"/>
        <v>7000</v>
      </c>
      <c r="BC84" s="82">
        <f t="shared" si="164"/>
        <v>6400</v>
      </c>
      <c r="BD84" s="82">
        <f t="shared" si="164"/>
        <v>5900</v>
      </c>
      <c r="BE84" s="82">
        <f t="shared" si="164"/>
        <v>5600</v>
      </c>
      <c r="BF84" s="82">
        <f t="shared" si="164"/>
        <v>5300</v>
      </c>
      <c r="BG84" s="87" t="s">
        <v>33</v>
      </c>
      <c r="BI84" s="84"/>
      <c r="BJ84" s="53"/>
      <c r="BK84" s="85">
        <v>40</v>
      </c>
      <c r="BL84" s="86" t="s">
        <v>170</v>
      </c>
      <c r="BM84" s="82">
        <f t="shared" si="165"/>
        <v>4490</v>
      </c>
      <c r="BN84" s="82">
        <f t="shared" si="165"/>
        <v>3460</v>
      </c>
      <c r="BO84" s="82">
        <f t="shared" si="165"/>
        <v>2710</v>
      </c>
      <c r="BP84" s="82">
        <f t="shared" si="165"/>
        <v>2200</v>
      </c>
      <c r="BQ84" s="83">
        <f t="shared" si="165"/>
        <v>1840</v>
      </c>
      <c r="BR84" s="82">
        <f t="shared" si="165"/>
        <v>1590</v>
      </c>
      <c r="BS84" s="82">
        <f t="shared" si="165"/>
        <v>1410</v>
      </c>
      <c r="BT84" s="82">
        <f t="shared" si="165"/>
        <v>1280</v>
      </c>
      <c r="BU84" s="82">
        <f t="shared" si="165"/>
        <v>1180</v>
      </c>
      <c r="BV84" s="87" t="s">
        <v>164</v>
      </c>
      <c r="BX84" s="84"/>
      <c r="BY84" s="53"/>
      <c r="BZ84" s="85">
        <v>40</v>
      </c>
      <c r="CA84" s="86" t="s">
        <v>170</v>
      </c>
      <c r="CB84" s="82">
        <f t="shared" si="166"/>
        <v>3380</v>
      </c>
      <c r="CC84" s="82">
        <f t="shared" si="166"/>
        <v>2720</v>
      </c>
      <c r="CD84" s="82">
        <f t="shared" si="166"/>
        <v>2320</v>
      </c>
      <c r="CE84" s="82">
        <f t="shared" si="166"/>
        <v>2040</v>
      </c>
      <c r="CF84" s="83">
        <f t="shared" si="167"/>
        <v>1840</v>
      </c>
      <c r="CG84" s="82">
        <f t="shared" si="166"/>
        <v>1680</v>
      </c>
      <c r="CH84" s="82">
        <f t="shared" si="166"/>
        <v>1570</v>
      </c>
      <c r="CI84" s="82">
        <f t="shared" si="166"/>
        <v>1470</v>
      </c>
      <c r="CJ84" s="82">
        <f t="shared" si="166"/>
        <v>1390</v>
      </c>
      <c r="CK84" s="87" t="s">
        <v>164</v>
      </c>
      <c r="CL84" s="193"/>
      <c r="CM84" s="197">
        <v>81</v>
      </c>
      <c r="CN84" s="197">
        <f t="shared" si="127"/>
        <v>-0.61168674187273375</v>
      </c>
      <c r="CO84" s="197">
        <f t="shared" si="132"/>
        <v>43.708180444636305</v>
      </c>
      <c r="CP84" s="197">
        <f t="shared" si="133"/>
        <v>-1.1882539773051164</v>
      </c>
    </row>
    <row r="85" spans="1:94" ht="15.5" x14ac:dyDescent="0.35">
      <c r="A85" s="32" t="s">
        <v>111</v>
      </c>
      <c r="B85" s="3">
        <f>E85*KphToMps</f>
        <v>-0.61612582138238237</v>
      </c>
      <c r="C85" s="3" t="s">
        <v>0</v>
      </c>
      <c r="D85" s="16"/>
      <c r="E85" s="24">
        <f>aRprime*V1CPrime^2+bRprime*V1CPrime+cRprime</f>
        <v>-2.2180529569765763</v>
      </c>
      <c r="F85" s="3" t="s">
        <v>1</v>
      </c>
      <c r="G85" s="16"/>
      <c r="H85" s="5">
        <f>E85*KphToKts</f>
        <v>-1.1968772701147077</v>
      </c>
      <c r="I85" s="3" t="s">
        <v>8</v>
      </c>
      <c r="AE85" s="84"/>
      <c r="AF85" s="53"/>
      <c r="AG85" s="85">
        <v>40</v>
      </c>
      <c r="AH85" s="86" t="s">
        <v>39</v>
      </c>
      <c r="AI85" s="82">
        <f t="shared" si="163"/>
        <v>21000</v>
      </c>
      <c r="AJ85" s="82">
        <f t="shared" si="163"/>
        <v>16300</v>
      </c>
      <c r="AK85" s="82">
        <f t="shared" si="163"/>
        <v>12900</v>
      </c>
      <c r="AL85" s="82">
        <f t="shared" si="163"/>
        <v>10400</v>
      </c>
      <c r="AM85" s="83">
        <f t="shared" si="163"/>
        <v>8700</v>
      </c>
      <c r="AN85" s="82">
        <f t="shared" si="163"/>
        <v>7400</v>
      </c>
      <c r="AO85" s="82">
        <f t="shared" si="163"/>
        <v>6500</v>
      </c>
      <c r="AP85" s="82">
        <f t="shared" si="163"/>
        <v>5800</v>
      </c>
      <c r="AQ85" s="82">
        <f t="shared" si="163"/>
        <v>5200</v>
      </c>
      <c r="AR85" s="87" t="s">
        <v>33</v>
      </c>
      <c r="AT85" s="84"/>
      <c r="AU85" s="53"/>
      <c r="AV85" s="85">
        <v>40</v>
      </c>
      <c r="AW85" s="86" t="s">
        <v>39</v>
      </c>
      <c r="AX85" s="82">
        <f t="shared" si="164"/>
        <v>15600</v>
      </c>
      <c r="AY85" s="82">
        <f t="shared" si="164"/>
        <v>12800</v>
      </c>
      <c r="AZ85" s="82">
        <f t="shared" si="164"/>
        <v>10900</v>
      </c>
      <c r="BA85" s="82">
        <f t="shared" si="164"/>
        <v>9600</v>
      </c>
      <c r="BB85" s="83">
        <f t="shared" si="164"/>
        <v>8700</v>
      </c>
      <c r="BC85" s="82">
        <f t="shared" si="164"/>
        <v>7900</v>
      </c>
      <c r="BD85" s="82">
        <f t="shared" si="164"/>
        <v>7300</v>
      </c>
      <c r="BE85" s="82">
        <f t="shared" si="164"/>
        <v>6800</v>
      </c>
      <c r="BF85" s="82">
        <f t="shared" si="164"/>
        <v>6400</v>
      </c>
      <c r="BG85" s="87" t="s">
        <v>33</v>
      </c>
      <c r="BI85" s="84"/>
      <c r="BJ85" s="53"/>
      <c r="BK85" s="85">
        <v>50</v>
      </c>
      <c r="BL85" s="86" t="s">
        <v>170</v>
      </c>
      <c r="BM85" s="82">
        <f t="shared" si="165"/>
        <v>5470</v>
      </c>
      <c r="BN85" s="82">
        <f t="shared" si="165"/>
        <v>4170</v>
      </c>
      <c r="BO85" s="82">
        <f t="shared" si="165"/>
        <v>3250</v>
      </c>
      <c r="BP85" s="82">
        <f t="shared" si="165"/>
        <v>2600</v>
      </c>
      <c r="BQ85" s="83">
        <f t="shared" si="165"/>
        <v>2150</v>
      </c>
      <c r="BR85" s="82">
        <f t="shared" si="165"/>
        <v>1840</v>
      </c>
      <c r="BS85" s="82">
        <f t="shared" si="165"/>
        <v>1610</v>
      </c>
      <c r="BT85" s="82">
        <f t="shared" si="165"/>
        <v>1450</v>
      </c>
      <c r="BU85" s="82">
        <f t="shared" si="165"/>
        <v>1330</v>
      </c>
      <c r="BV85" s="87" t="s">
        <v>164</v>
      </c>
      <c r="BX85" s="84"/>
      <c r="BY85" s="53"/>
      <c r="BZ85" s="85">
        <v>50</v>
      </c>
      <c r="CA85" s="86" t="s">
        <v>170</v>
      </c>
      <c r="CB85" s="82">
        <f t="shared" si="166"/>
        <v>4080</v>
      </c>
      <c r="CC85" s="82">
        <f t="shared" si="166"/>
        <v>3260</v>
      </c>
      <c r="CD85" s="82">
        <f t="shared" si="166"/>
        <v>2750</v>
      </c>
      <c r="CE85" s="82">
        <f t="shared" si="166"/>
        <v>2400</v>
      </c>
      <c r="CF85" s="83">
        <f t="shared" si="167"/>
        <v>2150</v>
      </c>
      <c r="CG85" s="82">
        <f t="shared" si="166"/>
        <v>1960</v>
      </c>
      <c r="CH85" s="82">
        <f t="shared" si="166"/>
        <v>1810</v>
      </c>
      <c r="CI85" s="82">
        <f t="shared" si="166"/>
        <v>1690</v>
      </c>
      <c r="CJ85" s="82">
        <f t="shared" si="166"/>
        <v>1590</v>
      </c>
      <c r="CK85" s="87" t="s">
        <v>164</v>
      </c>
      <c r="CL85" s="193"/>
      <c r="CM85" s="197">
        <v>82</v>
      </c>
      <c r="CN85" s="197">
        <f t="shared" si="127"/>
        <v>-0.60640446166518591</v>
      </c>
      <c r="CO85" s="197">
        <f t="shared" si="132"/>
        <v>44.247787610619469</v>
      </c>
      <c r="CP85" s="197">
        <f t="shared" si="133"/>
        <v>-1.1779926947953105</v>
      </c>
    </row>
    <row r="86" spans="1:94" ht="15.5" x14ac:dyDescent="0.35">
      <c r="A86" s="3" t="s">
        <v>51</v>
      </c>
      <c r="B86" s="131">
        <f>2*aRprime*Vstf+bRprime</f>
        <v>-2.1276595744680854E-2</v>
      </c>
      <c r="C86" s="44"/>
      <c r="D86" s="12"/>
      <c r="E86" s="12"/>
      <c r="F86" s="12"/>
      <c r="G86" s="12"/>
      <c r="H86" s="12"/>
      <c r="I86" s="13"/>
      <c r="AE86" s="84"/>
      <c r="AF86" s="53"/>
      <c r="AG86" s="85">
        <v>50</v>
      </c>
      <c r="AH86" s="86" t="s">
        <v>39</v>
      </c>
      <c r="AI86" s="82">
        <f t="shared" si="163"/>
        <v>25700</v>
      </c>
      <c r="AJ86" s="82">
        <f t="shared" si="163"/>
        <v>19900</v>
      </c>
      <c r="AK86" s="82">
        <f t="shared" si="163"/>
        <v>15600</v>
      </c>
      <c r="AL86" s="82">
        <f t="shared" si="163"/>
        <v>12500</v>
      </c>
      <c r="AM86" s="83">
        <f t="shared" si="163"/>
        <v>10300</v>
      </c>
      <c r="AN86" s="82">
        <f t="shared" si="163"/>
        <v>8800</v>
      </c>
      <c r="AO86" s="82">
        <f t="shared" si="163"/>
        <v>7600</v>
      </c>
      <c r="AP86" s="82">
        <f t="shared" si="163"/>
        <v>6700</v>
      </c>
      <c r="AQ86" s="82">
        <f t="shared" si="163"/>
        <v>6100</v>
      </c>
      <c r="AR86" s="87" t="s">
        <v>33</v>
      </c>
      <c r="AT86" s="84"/>
      <c r="AU86" s="53"/>
      <c r="AV86" s="85">
        <v>50</v>
      </c>
      <c r="AW86" s="86" t="s">
        <v>39</v>
      </c>
      <c r="AX86" s="82">
        <f t="shared" si="164"/>
        <v>19000</v>
      </c>
      <c r="AY86" s="82">
        <f t="shared" si="164"/>
        <v>15500</v>
      </c>
      <c r="AZ86" s="82">
        <f t="shared" si="164"/>
        <v>13200</v>
      </c>
      <c r="BA86" s="82">
        <f t="shared" si="164"/>
        <v>11600</v>
      </c>
      <c r="BB86" s="83">
        <f t="shared" si="164"/>
        <v>10300</v>
      </c>
      <c r="BC86" s="82">
        <f t="shared" si="164"/>
        <v>9400</v>
      </c>
      <c r="BD86" s="82">
        <f t="shared" si="164"/>
        <v>8600</v>
      </c>
      <c r="BE86" s="82">
        <f t="shared" si="164"/>
        <v>8000</v>
      </c>
      <c r="BF86" s="82">
        <f t="shared" si="164"/>
        <v>7500</v>
      </c>
      <c r="BG86" s="87" t="s">
        <v>33</v>
      </c>
      <c r="BI86" s="84"/>
      <c r="BJ86" s="53"/>
      <c r="BK86" s="85">
        <v>100</v>
      </c>
      <c r="BL86" s="86" t="s">
        <v>170</v>
      </c>
      <c r="BM86" s="82">
        <f t="shared" si="165"/>
        <v>10360</v>
      </c>
      <c r="BN86" s="82">
        <f t="shared" si="165"/>
        <v>7770</v>
      </c>
      <c r="BO86" s="82">
        <f t="shared" si="165"/>
        <v>5910</v>
      </c>
      <c r="BP86" s="82">
        <f t="shared" si="165"/>
        <v>4620</v>
      </c>
      <c r="BQ86" s="83">
        <f t="shared" si="165"/>
        <v>3720</v>
      </c>
      <c r="BR86" s="82">
        <f t="shared" si="165"/>
        <v>3090</v>
      </c>
      <c r="BS86" s="82">
        <f t="shared" si="165"/>
        <v>2650</v>
      </c>
      <c r="BT86" s="82">
        <f t="shared" si="165"/>
        <v>2320</v>
      </c>
      <c r="BU86" s="82">
        <f t="shared" si="165"/>
        <v>2070</v>
      </c>
      <c r="BV86" s="87" t="s">
        <v>164</v>
      </c>
      <c r="BX86" s="84"/>
      <c r="BY86" s="53"/>
      <c r="BZ86" s="85">
        <v>100</v>
      </c>
      <c r="CA86" s="86" t="s">
        <v>170</v>
      </c>
      <c r="CB86" s="82">
        <f t="shared" si="166"/>
        <v>7590</v>
      </c>
      <c r="CC86" s="82">
        <f t="shared" si="166"/>
        <v>5940</v>
      </c>
      <c r="CD86" s="82">
        <f t="shared" si="166"/>
        <v>4920</v>
      </c>
      <c r="CE86" s="82">
        <f t="shared" si="166"/>
        <v>4230</v>
      </c>
      <c r="CF86" s="83">
        <f t="shared" si="167"/>
        <v>3720</v>
      </c>
      <c r="CG86" s="82">
        <f t="shared" si="166"/>
        <v>3340</v>
      </c>
      <c r="CH86" s="82">
        <f t="shared" si="166"/>
        <v>3040</v>
      </c>
      <c r="CI86" s="82">
        <f t="shared" si="166"/>
        <v>2800</v>
      </c>
      <c r="CJ86" s="82">
        <f t="shared" si="166"/>
        <v>2610</v>
      </c>
      <c r="CK86" s="87" t="s">
        <v>164</v>
      </c>
      <c r="CL86" s="193"/>
      <c r="CM86" s="197">
        <v>83</v>
      </c>
      <c r="CN86" s="197">
        <f t="shared" si="127"/>
        <v>-0.60161418977093983</v>
      </c>
      <c r="CO86" s="197">
        <f t="shared" si="132"/>
        <v>44.787394776602632</v>
      </c>
      <c r="CP86" s="197">
        <f t="shared" si="133"/>
        <v>-1.1686871806471959</v>
      </c>
    </row>
    <row r="87" spans="1:94" ht="15.5" x14ac:dyDescent="0.35">
      <c r="AE87" s="88"/>
      <c r="AF87" s="89"/>
      <c r="AG87" s="61"/>
      <c r="AH87" s="90" t="s">
        <v>40</v>
      </c>
      <c r="AI87" s="91">
        <f>KphToKts*(aRprime*AI67*KtsToKph-SQRT(aRprime*(aRprime*(AI67*KtsToKph)^2-$AE81*KtsToKph+bRprime*AI67*KtsToKph+cRprime)))/aRprime</f>
        <v>101.88080265451873</v>
      </c>
      <c r="AJ87" s="91">
        <f>KphToKts*(aRprime*AJ67*KtsToKph-SQRT(aRprime*(aRprime*(AJ67*KtsToKph)^2-$AE81*KtsToKph+bRprime*AJ67*KtsToKph+cRprime)))/aRprime</f>
        <v>94.223512830496986</v>
      </c>
      <c r="AK87" s="91">
        <f>KphToKts*(aRprime*AK67*KtsToKph-SQRT(aRprime*(aRprime*(AK67*KtsToKph)^2-$AE81*KtsToKph+bRprime*AK67*KtsToKph+cRprime)))/aRprime</f>
        <v>87.971210548367679</v>
      </c>
      <c r="AL87" s="91">
        <f>KphToKts*(aRprime*AL67*KtsToKph-SQRT(aRprime*(aRprime*(AL67*KtsToKph)^2-$AE81*KtsToKph+bRprime*AL67*KtsToKph+cRprime)))/aRprime</f>
        <v>82.907553288613727</v>
      </c>
      <c r="AM87" s="178">
        <f>KphToKts*(aRprime*AM80*KtsToKph-SQRT(aRprime*(aRprime*(AM80*KtsToKph)^2-$AE81*KtsToKph+bRprime*AM80*KtsToKph+cRprime)))/aRprime</f>
        <v>78.809499361774726</v>
      </c>
      <c r="AN87" s="91">
        <f>KphToKts*(aRprime*AN67*KtsToKph-SQRT(aRprime*(aRprime*(AN67*KtsToKph)^2-$AE81*KtsToKph+bRprime*AN67*KtsToKph+cRprime)))/aRprime</f>
        <v>75.477266292126387</v>
      </c>
      <c r="AO87" s="91">
        <f>KphToKts*(aRprime*AO67*KtsToKph-SQRT(aRprime*(aRprime*(AO67*KtsToKph)^2-$AE81*KtsToKph+bRprime*AO67*KtsToKph+cRprime)))/aRprime</f>
        <v>72.745829641534897</v>
      </c>
      <c r="AP87" s="91">
        <f>KphToKts*(aRprime*AP67*KtsToKph-SQRT(aRprime*(aRprime*(AP67*KtsToKph)^2-$AE81*KtsToKph+bRprime*AP67*KtsToKph+cRprime)))/aRprime</f>
        <v>70.484898263461091</v>
      </c>
      <c r="AQ87" s="91">
        <f>KphToKts*(aRprime*AQ67*KtsToKph-SQRT(aRprime*(aRprime*(AQ67*KtsToKph)^2-$AE81*KtsToKph+bRprime*AQ67*KtsToKph+cRprime)))/aRprime</f>
        <v>68.593925438486878</v>
      </c>
      <c r="AR87" s="72" t="s">
        <v>8</v>
      </c>
      <c r="AT87" s="88"/>
      <c r="AU87" s="89"/>
      <c r="AV87" s="61"/>
      <c r="AW87" s="90" t="s">
        <v>40</v>
      </c>
      <c r="AX87" s="177">
        <f t="shared" ref="AX87:BF87" si="168">KphToKts*(-1*SQRT(aRprime*(-$AT81*KtsToKph+cRprime)))/aRprime</f>
        <v>78.809499361774726</v>
      </c>
      <c r="AY87" s="177">
        <f t="shared" si="168"/>
        <v>78.809499361774726</v>
      </c>
      <c r="AZ87" s="177">
        <f t="shared" si="168"/>
        <v>78.809499361774726</v>
      </c>
      <c r="BA87" s="177">
        <f t="shared" si="168"/>
        <v>78.809499361774726</v>
      </c>
      <c r="BB87" s="178">
        <f t="shared" si="168"/>
        <v>78.809499361774726</v>
      </c>
      <c r="BC87" s="177">
        <f t="shared" si="168"/>
        <v>78.809499361774726</v>
      </c>
      <c r="BD87" s="177">
        <f t="shared" si="168"/>
        <v>78.809499361774726</v>
      </c>
      <c r="BE87" s="177">
        <f t="shared" si="168"/>
        <v>78.809499361774726</v>
      </c>
      <c r="BF87" s="177">
        <f t="shared" si="168"/>
        <v>78.809499361774726</v>
      </c>
      <c r="BG87" s="72" t="s">
        <v>8</v>
      </c>
      <c r="BI87" s="88"/>
      <c r="BJ87" s="89"/>
      <c r="BK87" s="61"/>
      <c r="BL87" s="90" t="s">
        <v>40</v>
      </c>
      <c r="BM87" s="177">
        <f t="shared" ref="BM87:BU87" si="169">(aRprime*BM80-SQRT(aRprime*(aRprime*BM80^2-$BI81*MpsToKph+bRprime*BM80+cRprime)))/aRprime</f>
        <v>192.57171798358939</v>
      </c>
      <c r="BN87" s="177">
        <f t="shared" si="169"/>
        <v>176.45530519839093</v>
      </c>
      <c r="BO87" s="177">
        <f t="shared" si="169"/>
        <v>163.49609114431104</v>
      </c>
      <c r="BP87" s="177">
        <f t="shared" si="169"/>
        <v>153.19433526617254</v>
      </c>
      <c r="BQ87" s="178">
        <f t="shared" si="169"/>
        <v>145.01785188752169</v>
      </c>
      <c r="BR87" s="177">
        <f t="shared" si="169"/>
        <v>138.49171519402768</v>
      </c>
      <c r="BS87" s="177">
        <f t="shared" si="169"/>
        <v>133.23126220234724</v>
      </c>
      <c r="BT87" s="177">
        <f t="shared" si="169"/>
        <v>128.94051080509968</v>
      </c>
      <c r="BU87" s="177">
        <f t="shared" si="169"/>
        <v>125.39708625578305</v>
      </c>
      <c r="BV87" s="72" t="s">
        <v>1</v>
      </c>
      <c r="BX87" s="88"/>
      <c r="BY87" s="89"/>
      <c r="BZ87" s="61"/>
      <c r="CA87" s="90" t="s">
        <v>40</v>
      </c>
      <c r="CB87" s="177">
        <f t="shared" ref="CB87:CJ87" si="170">(-1*SQRT(aRprime*(-$BX81*MpsToKph+cRprime)))/aRprime</f>
        <v>145.01785188752169</v>
      </c>
      <c r="CC87" s="177">
        <f t="shared" si="170"/>
        <v>145.01785188752169</v>
      </c>
      <c r="CD87" s="177">
        <f t="shared" si="170"/>
        <v>145.01785188752169</v>
      </c>
      <c r="CE87" s="177">
        <f t="shared" si="170"/>
        <v>145.01785188752169</v>
      </c>
      <c r="CF87" s="178">
        <f t="shared" si="170"/>
        <v>145.01785188752169</v>
      </c>
      <c r="CG87" s="177">
        <f t="shared" si="170"/>
        <v>145.01785188752169</v>
      </c>
      <c r="CH87" s="177">
        <f t="shared" si="170"/>
        <v>145.01785188752169</v>
      </c>
      <c r="CI87" s="177">
        <f t="shared" si="170"/>
        <v>145.01785188752169</v>
      </c>
      <c r="CJ87" s="177">
        <f t="shared" si="170"/>
        <v>145.01785188752169</v>
      </c>
      <c r="CK87" s="72" t="s">
        <v>1</v>
      </c>
      <c r="CL87" s="193"/>
      <c r="CM87" s="197">
        <v>84</v>
      </c>
      <c r="CN87" s="197">
        <f t="shared" si="127"/>
        <v>-0.59731592618999574</v>
      </c>
      <c r="CO87" s="197">
        <f t="shared" si="132"/>
        <v>45.327001942585795</v>
      </c>
      <c r="CP87" s="197">
        <f t="shared" si="133"/>
        <v>-1.1603374348607731</v>
      </c>
    </row>
    <row r="88" spans="1:94" ht="15.5" x14ac:dyDescent="0.35">
      <c r="A88" s="175" t="s">
        <v>123</v>
      </c>
      <c r="B88" s="37"/>
      <c r="C88" s="38"/>
      <c r="AE88" s="84"/>
      <c r="AF88" s="62"/>
      <c r="AG88" s="63"/>
      <c r="AH88" s="92" t="s">
        <v>41</v>
      </c>
      <c r="AI88" s="190">
        <f t="shared" ref="AI88:AQ88" si="171">KphToKts*($AE81*KtsToKph-AI80*KtsToKph*(2*aRprime*AI87*KtsToKph+bRprime))</f>
        <v>11.841860417695893</v>
      </c>
      <c r="AJ88" s="190">
        <f t="shared" si="171"/>
        <v>9.3773567223593677</v>
      </c>
      <c r="AK88" s="190">
        <f t="shared" si="171"/>
        <v>7.5077812599002112</v>
      </c>
      <c r="AL88" s="190">
        <f t="shared" si="171"/>
        <v>6.087678951372876</v>
      </c>
      <c r="AM88" s="190">
        <f t="shared" si="171"/>
        <v>5</v>
      </c>
      <c r="AN88" s="190">
        <f t="shared" si="171"/>
        <v>4.1562160064894043</v>
      </c>
      <c r="AO88" s="190">
        <f t="shared" si="171"/>
        <v>3.4917477317698706</v>
      </c>
      <c r="AP88" s="190">
        <f t="shared" si="171"/>
        <v>2.9602629694263838</v>
      </c>
      <c r="AQ88" s="190">
        <f t="shared" si="171"/>
        <v>2.5286310692730551</v>
      </c>
      <c r="AR88" s="93" t="s">
        <v>8</v>
      </c>
      <c r="AT88" s="84"/>
      <c r="AU88" s="62"/>
      <c r="AV88" s="63"/>
      <c r="AW88" s="92" t="s">
        <v>41</v>
      </c>
      <c r="AX88" s="207">
        <f t="shared" ref="AX88:BF88" si="172">$AT81</f>
        <v>5</v>
      </c>
      <c r="AY88" s="207">
        <f t="shared" si="172"/>
        <v>5</v>
      </c>
      <c r="AZ88" s="207">
        <f t="shared" si="172"/>
        <v>5</v>
      </c>
      <c r="BA88" s="207">
        <f t="shared" si="172"/>
        <v>5</v>
      </c>
      <c r="BB88" s="207">
        <f t="shared" si="172"/>
        <v>5</v>
      </c>
      <c r="BC88" s="207">
        <f t="shared" si="172"/>
        <v>5</v>
      </c>
      <c r="BD88" s="207">
        <f t="shared" si="172"/>
        <v>5</v>
      </c>
      <c r="BE88" s="207">
        <f t="shared" si="172"/>
        <v>5</v>
      </c>
      <c r="BF88" s="207">
        <f t="shared" si="172"/>
        <v>5</v>
      </c>
      <c r="BG88" s="93" t="s">
        <v>8</v>
      </c>
      <c r="BI88" s="84"/>
      <c r="BJ88" s="62"/>
      <c r="BK88" s="63"/>
      <c r="BL88" s="92" t="s">
        <v>41</v>
      </c>
      <c r="BM88" s="190">
        <f t="shared" ref="BM88:BU88" si="173">KphToMps*($BI81*MpsToKph-BM80*(2*aRprime*BM87+bRprime))</f>
        <v>6.4492742730475419</v>
      </c>
      <c r="BN88" s="190">
        <f t="shared" si="173"/>
        <v>4.9861911605303675</v>
      </c>
      <c r="BO88" s="190">
        <f t="shared" si="173"/>
        <v>3.9024191317483035</v>
      </c>
      <c r="BP88" s="190">
        <f t="shared" si="173"/>
        <v>3.0998385752011499</v>
      </c>
      <c r="BQ88" s="190">
        <f t="shared" si="173"/>
        <v>2.5</v>
      </c>
      <c r="BR88" s="190">
        <f t="shared" si="173"/>
        <v>2.044837650855122</v>
      </c>
      <c r="BS88" s="190">
        <f t="shared" si="173"/>
        <v>1.6932027658558539</v>
      </c>
      <c r="BT88" s="190">
        <f t="shared" si="173"/>
        <v>1.4164692702492145</v>
      </c>
      <c r="BU88" s="190">
        <f t="shared" si="173"/>
        <v>1.1947639071980114</v>
      </c>
      <c r="BV88" s="93" t="s">
        <v>0</v>
      </c>
      <c r="BX88" s="84"/>
      <c r="BY88" s="62"/>
      <c r="BZ88" s="63"/>
      <c r="CA88" s="92" t="s">
        <v>41</v>
      </c>
      <c r="CB88" s="207">
        <f t="shared" ref="CB88:CE88" si="174">$BX81</f>
        <v>2.5</v>
      </c>
      <c r="CC88" s="207">
        <f t="shared" si="174"/>
        <v>2.5</v>
      </c>
      <c r="CD88" s="207">
        <f t="shared" si="174"/>
        <v>2.5</v>
      </c>
      <c r="CE88" s="207">
        <f t="shared" si="174"/>
        <v>2.5</v>
      </c>
      <c r="CF88" s="207">
        <f>$BX81</f>
        <v>2.5</v>
      </c>
      <c r="CG88" s="207">
        <f t="shared" ref="CG88:CJ88" si="175">$BX81</f>
        <v>2.5</v>
      </c>
      <c r="CH88" s="207">
        <f t="shared" si="175"/>
        <v>2.5</v>
      </c>
      <c r="CI88" s="207">
        <f t="shared" si="175"/>
        <v>2.5</v>
      </c>
      <c r="CJ88" s="207">
        <f t="shared" si="175"/>
        <v>2.5</v>
      </c>
      <c r="CK88" s="93" t="s">
        <v>0</v>
      </c>
      <c r="CL88" s="193"/>
      <c r="CM88" s="197">
        <v>85</v>
      </c>
      <c r="CN88" s="197">
        <f t="shared" si="127"/>
        <v>-0.59350967092235363</v>
      </c>
      <c r="CO88" s="197">
        <f t="shared" si="132"/>
        <v>45.866609108568966</v>
      </c>
      <c r="CP88" s="197">
        <f t="shared" si="133"/>
        <v>-1.152943457436042</v>
      </c>
    </row>
    <row r="89" spans="1:94" ht="15.5" x14ac:dyDescent="0.35">
      <c r="A89" s="32" t="s">
        <v>124</v>
      </c>
      <c r="B89" s="3">
        <v>1.8532</v>
      </c>
      <c r="C89" s="24" t="s">
        <v>125</v>
      </c>
      <c r="AE89" s="94"/>
      <c r="AF89" s="89"/>
      <c r="AG89" s="61"/>
      <c r="AH89" s="71" t="s">
        <v>49</v>
      </c>
      <c r="AI89" s="95">
        <f t="shared" ref="AI89:AL89" si="176">AI87-AI80</f>
        <v>61.880802654518732</v>
      </c>
      <c r="AJ89" s="95">
        <f t="shared" si="176"/>
        <v>64.223512830496986</v>
      </c>
      <c r="AK89" s="95">
        <f t="shared" si="176"/>
        <v>67.971210548367679</v>
      </c>
      <c r="AL89" s="95">
        <f t="shared" si="176"/>
        <v>72.907553288613727</v>
      </c>
      <c r="AM89" s="95">
        <f>AM87-AM80</f>
        <v>78.809499361774726</v>
      </c>
      <c r="AN89" s="95">
        <f t="shared" ref="AN89:AQ89" si="177">AN87-AN80</f>
        <v>85.477266292126387</v>
      </c>
      <c r="AO89" s="95">
        <f t="shared" si="177"/>
        <v>92.745829641534897</v>
      </c>
      <c r="AP89" s="95">
        <f t="shared" si="177"/>
        <v>100.48489826346109</v>
      </c>
      <c r="AQ89" s="95">
        <f t="shared" si="177"/>
        <v>108.59392543848688</v>
      </c>
      <c r="AR89" s="96" t="s">
        <v>8</v>
      </c>
      <c r="AT89" s="94"/>
      <c r="AU89" s="89"/>
      <c r="AV89" s="61"/>
      <c r="AW89" s="71" t="s">
        <v>49</v>
      </c>
      <c r="AX89" s="95">
        <f t="shared" ref="AX89:BA89" si="178">AX87-AX80</f>
        <v>38.809499361774726</v>
      </c>
      <c r="AY89" s="95">
        <f t="shared" si="178"/>
        <v>48.809499361774726</v>
      </c>
      <c r="AZ89" s="95">
        <f t="shared" si="178"/>
        <v>58.809499361774726</v>
      </c>
      <c r="BA89" s="95">
        <f t="shared" si="178"/>
        <v>68.809499361774726</v>
      </c>
      <c r="BB89" s="95">
        <f>BB87-BB80</f>
        <v>78.809499361774726</v>
      </c>
      <c r="BC89" s="95">
        <f t="shared" ref="BC89:BF89" si="179">BC87-BC80</f>
        <v>88.809499361774726</v>
      </c>
      <c r="BD89" s="95">
        <f t="shared" si="179"/>
        <v>98.809499361774726</v>
      </c>
      <c r="BE89" s="95">
        <f t="shared" si="179"/>
        <v>108.80949936177473</v>
      </c>
      <c r="BF89" s="95">
        <f t="shared" si="179"/>
        <v>118.80949936177473</v>
      </c>
      <c r="BG89" s="96" t="s">
        <v>8</v>
      </c>
      <c r="BI89" s="94"/>
      <c r="BJ89" s="89"/>
      <c r="BK89" s="61"/>
      <c r="BL89" s="71" t="s">
        <v>49</v>
      </c>
      <c r="BM89" s="95">
        <f t="shared" ref="BM89:BP89" si="180">BM87-BM80</f>
        <v>112.57171798358939</v>
      </c>
      <c r="BN89" s="95">
        <f t="shared" si="180"/>
        <v>116.45530519839093</v>
      </c>
      <c r="BO89" s="95">
        <f t="shared" si="180"/>
        <v>123.49609114431104</v>
      </c>
      <c r="BP89" s="95">
        <f t="shared" si="180"/>
        <v>133.19433526617254</v>
      </c>
      <c r="BQ89" s="95">
        <f>BQ87-BQ80</f>
        <v>145.01785188752169</v>
      </c>
      <c r="BR89" s="95">
        <f t="shared" ref="BR89:BU89" si="181">BR87-BR80</f>
        <v>158.49171519402768</v>
      </c>
      <c r="BS89" s="95">
        <f t="shared" si="181"/>
        <v>173.23126220234724</v>
      </c>
      <c r="BT89" s="95">
        <f t="shared" si="181"/>
        <v>188.94051080509968</v>
      </c>
      <c r="BU89" s="95">
        <f t="shared" si="181"/>
        <v>205.39708625578305</v>
      </c>
      <c r="BV89" s="96" t="s">
        <v>1</v>
      </c>
      <c r="BX89" s="94"/>
      <c r="BY89" s="89"/>
      <c r="BZ89" s="61"/>
      <c r="CA89" s="71" t="s">
        <v>49</v>
      </c>
      <c r="CB89" s="95">
        <f t="shared" ref="CB89:CE89" si="182">CB87-CB80</f>
        <v>65.017851887521687</v>
      </c>
      <c r="CC89" s="95">
        <f t="shared" si="182"/>
        <v>85.017851887521687</v>
      </c>
      <c r="CD89" s="95">
        <f t="shared" si="182"/>
        <v>105.01785188752169</v>
      </c>
      <c r="CE89" s="95">
        <f t="shared" si="182"/>
        <v>125.01785188752169</v>
      </c>
      <c r="CF89" s="95">
        <f>CF87-CF80</f>
        <v>145.01785188752169</v>
      </c>
      <c r="CG89" s="95">
        <f t="shared" ref="CG89:CJ89" si="183">CG87-CG80</f>
        <v>165.01785188752169</v>
      </c>
      <c r="CH89" s="95">
        <f t="shared" si="183"/>
        <v>185.01785188752169</v>
      </c>
      <c r="CI89" s="95">
        <f t="shared" si="183"/>
        <v>205.01785188752169</v>
      </c>
      <c r="CJ89" s="95">
        <f t="shared" si="183"/>
        <v>225.01785188752169</v>
      </c>
      <c r="CK89" s="96" t="s">
        <v>1</v>
      </c>
      <c r="CL89" s="194"/>
      <c r="CM89" s="197">
        <v>86</v>
      </c>
      <c r="CN89" s="197">
        <f t="shared" si="127"/>
        <v>-0.59019542396801283</v>
      </c>
      <c r="CO89" s="197">
        <f t="shared" si="132"/>
        <v>46.406216274552129</v>
      </c>
      <c r="CP89" s="197">
        <f t="shared" si="133"/>
        <v>-1.1465052483730014</v>
      </c>
    </row>
    <row r="90" spans="1:94" ht="15.5" x14ac:dyDescent="0.35">
      <c r="A90" s="32" t="s">
        <v>128</v>
      </c>
      <c r="B90" s="3">
        <f>1/KtsToKph</f>
        <v>0.53960716598316427</v>
      </c>
      <c r="C90" s="24" t="s">
        <v>129</v>
      </c>
      <c r="AE90" s="84"/>
      <c r="AF90" s="89"/>
      <c r="AG90" s="61"/>
      <c r="AH90" s="71" t="s">
        <v>42</v>
      </c>
      <c r="AI90" s="95">
        <f t="shared" ref="AI90" si="184">-AI89/AI91</f>
        <v>11.080822651627324</v>
      </c>
      <c r="AJ90" s="95">
        <f t="shared" ref="AJ90" si="185">-AJ89/AJ91</f>
        <v>14.693180530687549</v>
      </c>
      <c r="AK90" s="95">
        <f t="shared" ref="AK90" si="186">-AK89/AK91</f>
        <v>19.294400835459179</v>
      </c>
      <c r="AL90" s="95">
        <f t="shared" ref="AL90" si="187">-AL89/AL91</f>
        <v>24.883114555681868</v>
      </c>
      <c r="AM90" s="95">
        <f>-AM89/AM91</f>
        <v>31.37536711335029</v>
      </c>
      <c r="AN90" s="95">
        <f t="shared" ref="AN90" si="188">-AN89/AN91</f>
        <v>38.63492927239858</v>
      </c>
      <c r="AO90" s="95">
        <f t="shared" ref="AO90" si="189">-AO89/AO91</f>
        <v>46.507661554943681</v>
      </c>
      <c r="AP90" s="95">
        <f t="shared" ref="AP90" si="190">-AP89/AP91</f>
        <v>54.847072982692808</v>
      </c>
      <c r="AQ90" s="95">
        <f t="shared" ref="AQ90" si="191">-AQ89/AQ91</f>
        <v>63.52783193875981</v>
      </c>
      <c r="AR90" s="96"/>
      <c r="AT90" s="84"/>
      <c r="AU90" s="89"/>
      <c r="AV90" s="61"/>
      <c r="AW90" s="71" t="s">
        <v>42</v>
      </c>
      <c r="AX90" s="95">
        <f t="shared" ref="AX90:BA90" si="192">-AX89/AX91</f>
        <v>15.450704544782621</v>
      </c>
      <c r="AY90" s="95">
        <f t="shared" si="192"/>
        <v>19.431870186924538</v>
      </c>
      <c r="AZ90" s="95">
        <f t="shared" si="192"/>
        <v>23.413035829066455</v>
      </c>
      <c r="BA90" s="95">
        <f t="shared" si="192"/>
        <v>27.394201471208373</v>
      </c>
      <c r="BB90" s="95">
        <f>-BB89/BB91</f>
        <v>31.37536711335029</v>
      </c>
      <c r="BC90" s="95">
        <f t="shared" ref="BC90:BF90" si="193">-BC89/BC91</f>
        <v>35.356532755492211</v>
      </c>
      <c r="BD90" s="95">
        <f t="shared" si="193"/>
        <v>39.337698397634128</v>
      </c>
      <c r="BE90" s="95">
        <f t="shared" si="193"/>
        <v>43.318864039776045</v>
      </c>
      <c r="BF90" s="95">
        <f t="shared" si="193"/>
        <v>47.300029681917962</v>
      </c>
      <c r="BG90" s="96"/>
      <c r="BI90" s="84"/>
      <c r="BJ90" s="89"/>
      <c r="BK90" s="61"/>
      <c r="BL90" s="71" t="s">
        <v>42</v>
      </c>
      <c r="BM90" s="95">
        <f>-BM89/BM91/MpsToKph</f>
        <v>10.22826320369575</v>
      </c>
      <c r="BN90" s="95">
        <f>-BN89/BN91/MpsToKph</f>
        <v>13.910411104733852</v>
      </c>
      <c r="BO90" s="95">
        <f>-BO89/BO91/MpsToKph</f>
        <v>18.747332723750759</v>
      </c>
      <c r="BP90" s="95">
        <f>-BP89/BP91/MpsToKph</f>
        <v>24.75216748080738</v>
      </c>
      <c r="BQ90" s="95">
        <f>-BQ89/BQ91/MpsToKph</f>
        <v>31.819583749480611</v>
      </c>
      <c r="BR90" s="95">
        <f>-BR89/BR91/MpsToKph</f>
        <v>39.771045584193551</v>
      </c>
      <c r="BS90" s="95">
        <f>-BS89/BS91/MpsToKph</f>
        <v>48.407208972195846</v>
      </c>
      <c r="BT90" s="95">
        <f>-BT89/BT91/MpsToKph</f>
        <v>57.544673553927446</v>
      </c>
      <c r="BU90" s="95">
        <f>-BU89/BU91/MpsToKph</f>
        <v>67.032844565251992</v>
      </c>
      <c r="BV90" s="96"/>
      <c r="BX90" s="84"/>
      <c r="BY90" s="89"/>
      <c r="BZ90" s="61"/>
      <c r="CA90" s="71" t="s">
        <v>42</v>
      </c>
      <c r="CB90" s="95">
        <f>-CB89/CB91/MpsToKph</f>
        <v>14.266112457319743</v>
      </c>
      <c r="CC90" s="95">
        <f>-CC89/CC91/MpsToKph</f>
        <v>18.654480280359959</v>
      </c>
      <c r="CD90" s="95">
        <f>-CD89/CD91/MpsToKph</f>
        <v>23.042848103400178</v>
      </c>
      <c r="CE90" s="95">
        <f>-CE89/CE91/MpsToKph</f>
        <v>27.431215926440391</v>
      </c>
      <c r="CF90" s="95">
        <f>-CF89/CF91/MpsToKph</f>
        <v>31.819583749480611</v>
      </c>
      <c r="CG90" s="95">
        <f>-CG89/CG91/MpsToKph</f>
        <v>36.207951572520827</v>
      </c>
      <c r="CH90" s="95">
        <f>-CH89/CH91/MpsToKph</f>
        <v>40.596319395561046</v>
      </c>
      <c r="CI90" s="95">
        <f>-CI89/CI91/MpsToKph</f>
        <v>44.984687218601266</v>
      </c>
      <c r="CJ90" s="95">
        <f>-CJ89/CJ91/MpsToKph</f>
        <v>49.373055041641479</v>
      </c>
      <c r="CK90" s="96"/>
      <c r="CL90" s="194"/>
      <c r="CM90" s="197">
        <v>87</v>
      </c>
      <c r="CN90" s="197">
        <f t="shared" si="127"/>
        <v>-0.58737318532697447</v>
      </c>
      <c r="CO90" s="197">
        <f t="shared" si="132"/>
        <v>46.945823440535293</v>
      </c>
      <c r="CP90" s="197">
        <f t="shared" si="133"/>
        <v>-1.1410228076716535</v>
      </c>
    </row>
    <row r="91" spans="1:94" ht="16" thickBot="1" x14ac:dyDescent="0.4">
      <c r="A91" s="32" t="s">
        <v>126</v>
      </c>
      <c r="B91" s="3">
        <f>1.8532*1000/3600</f>
        <v>0.51477777777777778</v>
      </c>
      <c r="C91" s="24" t="s">
        <v>127</v>
      </c>
      <c r="AE91" s="97"/>
      <c r="AF91" s="64"/>
      <c r="AG91" s="65"/>
      <c r="AH91" s="98" t="s">
        <v>43</v>
      </c>
      <c r="AI91" s="191">
        <f t="shared" ref="AI91:AQ91" si="194">KphToKts*(aRprime*(AI87*KtsToKph)^2+bRprime*AI87*KtsToKph+cRprime)</f>
        <v>-5.5844953574300682</v>
      </c>
      <c r="AJ91" s="191">
        <f t="shared" si="194"/>
        <v>-4.3709741874036396</v>
      </c>
      <c r="AK91" s="191">
        <f t="shared" si="194"/>
        <v>-3.5228464012964031</v>
      </c>
      <c r="AL91" s="191">
        <f t="shared" si="194"/>
        <v>-2.9300011108121451</v>
      </c>
      <c r="AM91" s="191">
        <f t="shared" si="194"/>
        <v>-2.5118271629160032</v>
      </c>
      <c r="AN91" s="191">
        <f t="shared" si="194"/>
        <v>-2.2124349106339047</v>
      </c>
      <c r="AO91" s="191">
        <f t="shared" si="194"/>
        <v>-1.9942053962865003</v>
      </c>
      <c r="AP91" s="191">
        <f t="shared" si="194"/>
        <v>-1.8320922667134756</v>
      </c>
      <c r="AQ91" s="191">
        <f t="shared" si="194"/>
        <v>-1.7093913348588745</v>
      </c>
      <c r="AR91" s="99" t="s">
        <v>8</v>
      </c>
      <c r="AT91" s="97"/>
      <c r="AU91" s="64"/>
      <c r="AV91" s="65"/>
      <c r="AW91" s="98" t="s">
        <v>43</v>
      </c>
      <c r="AX91" s="191">
        <f t="shared" ref="AX91:BF91" si="195">KphToKts*(aRprime*(AX87*KtsToKph)^2+bRprime*AX87*KtsToKph+cRprime)</f>
        <v>-2.5118271629160032</v>
      </c>
      <c r="AY91" s="191">
        <f t="shared" si="195"/>
        <v>-2.5118271629160032</v>
      </c>
      <c r="AZ91" s="191">
        <f t="shared" si="195"/>
        <v>-2.5118271629160032</v>
      </c>
      <c r="BA91" s="191">
        <f t="shared" si="195"/>
        <v>-2.5118271629160032</v>
      </c>
      <c r="BB91" s="191">
        <f t="shared" si="195"/>
        <v>-2.5118271629160032</v>
      </c>
      <c r="BC91" s="191">
        <f t="shared" si="195"/>
        <v>-2.5118271629160032</v>
      </c>
      <c r="BD91" s="191">
        <f t="shared" si="195"/>
        <v>-2.5118271629160032</v>
      </c>
      <c r="BE91" s="191">
        <f t="shared" si="195"/>
        <v>-2.5118271629160032</v>
      </c>
      <c r="BF91" s="191">
        <f t="shared" si="195"/>
        <v>-2.5118271629160032</v>
      </c>
      <c r="BG91" s="99" t="s">
        <v>8</v>
      </c>
      <c r="BI91" s="97"/>
      <c r="BJ91" s="64"/>
      <c r="BK91" s="65"/>
      <c r="BL91" s="98" t="s">
        <v>43</v>
      </c>
      <c r="BM91" s="191">
        <f>KphToMps*(aRprime*BM87^2+bRprime*BM87+cRprime)</f>
        <v>-3.0572073713169106</v>
      </c>
      <c r="BN91" s="191">
        <f>KphToMps*(aRprime*BN87^2+bRprime*BN87+cRprime)</f>
        <v>-2.3255025063517598</v>
      </c>
      <c r="BO91" s="191">
        <f>KphToMps*(aRprime*BO87^2+bRprime*BO87+cRprime)</f>
        <v>-1.8298320229228513</v>
      </c>
      <c r="BP91" s="191">
        <f>KphToMps*(aRprime*BP87^2+bRprime*BP87+cRprime)</f>
        <v>-1.4947550145462603</v>
      </c>
      <c r="BQ91" s="191">
        <f>KphToMps*(aRprime*BQ87^2+bRprime*BQ87+cRprime)</f>
        <v>-1.2659730860269416</v>
      </c>
      <c r="BR91" s="191">
        <f>KphToMps*(aRprime*BR87^2+bRprime*BR87+cRprime)</f>
        <v>-1.1069730703857275</v>
      </c>
      <c r="BS91" s="191">
        <f>KphToMps*(aRprime*BS87^2+bRprime*BS87+cRprime)</f>
        <v>-0.99406258030382699</v>
      </c>
      <c r="BT91" s="191">
        <f>KphToMps*(aRprime*BT87^2+bRprime*BT87+cRprime)</f>
        <v>-0.91204749253559336</v>
      </c>
      <c r="BU91" s="191">
        <f>KphToMps*(aRprime*BU87^2+bRprime*BU87+cRprime)</f>
        <v>-0.85114612921764021</v>
      </c>
      <c r="BV91" s="99" t="s">
        <v>0</v>
      </c>
      <c r="BX91" s="97"/>
      <c r="BY91" s="64"/>
      <c r="BZ91" s="65"/>
      <c r="CA91" s="98" t="s">
        <v>43</v>
      </c>
      <c r="CB91" s="191">
        <f>KphToMps*(aRprime*CB87^2+bRprime*CB87+cRprime)</f>
        <v>-1.2659730860269416</v>
      </c>
      <c r="CC91" s="191">
        <f>KphToMps*(aRprime*CC87^2+bRprime*CC87+cRprime)</f>
        <v>-1.2659730860269416</v>
      </c>
      <c r="CD91" s="191">
        <f>KphToMps*(aRprime*CD87^2+bRprime*CD87+cRprime)</f>
        <v>-1.2659730860269416</v>
      </c>
      <c r="CE91" s="191">
        <f>KphToMps*(aRprime*CE87^2+bRprime*CE87+cRprime)</f>
        <v>-1.2659730860269416</v>
      </c>
      <c r="CF91" s="191">
        <f>KphToMps*(aRprime*CF87^2+bRprime*CF87+cRprime)</f>
        <v>-1.2659730860269416</v>
      </c>
      <c r="CG91" s="191">
        <f>KphToMps*(aRprime*CG87^2+bRprime*CG87+cRprime)</f>
        <v>-1.2659730860269416</v>
      </c>
      <c r="CH91" s="191">
        <f>KphToMps*(aRprime*CH87^2+bRprime*CH87+cRprime)</f>
        <v>-1.2659730860269416</v>
      </c>
      <c r="CI91" s="191">
        <f>KphToMps*(aRprime*CI87^2+bRprime*CI87+cRprime)</f>
        <v>-1.2659730860269416</v>
      </c>
      <c r="CJ91" s="191">
        <f>KphToMps*(aRprime*CJ87^2+bRprime*CJ87+cRprime)</f>
        <v>-1.2659730860269416</v>
      </c>
      <c r="CK91" s="99" t="s">
        <v>0</v>
      </c>
      <c r="CL91" s="194"/>
      <c r="CM91" s="197">
        <v>88</v>
      </c>
      <c r="CN91" s="197">
        <f t="shared" si="127"/>
        <v>-0.58504295499923775</v>
      </c>
      <c r="CO91" s="197">
        <f t="shared" si="132"/>
        <v>47.485430606518456</v>
      </c>
      <c r="CP91" s="197">
        <f t="shared" si="133"/>
        <v>-1.1364961353319967</v>
      </c>
    </row>
    <row r="92" spans="1:94" ht="16" thickTop="1" x14ac:dyDescent="0.35">
      <c r="A92" s="32" t="s">
        <v>130</v>
      </c>
      <c r="B92" s="3">
        <f>1/B91</f>
        <v>1.9425857975393914</v>
      </c>
      <c r="C92" s="24" t="s">
        <v>131</v>
      </c>
      <c r="AE92" s="66" t="s">
        <v>16</v>
      </c>
      <c r="AF92" s="67"/>
      <c r="AG92" s="68"/>
      <c r="AH92" s="69"/>
      <c r="AI92" s="45" t="s">
        <v>34</v>
      </c>
      <c r="AJ92" s="51"/>
      <c r="AK92" s="51"/>
      <c r="AL92" s="51"/>
      <c r="AM92" s="70" t="s">
        <v>35</v>
      </c>
      <c r="AN92" s="51"/>
      <c r="AO92" s="51"/>
      <c r="AP92" s="51"/>
      <c r="AQ92" s="71" t="s">
        <v>36</v>
      </c>
      <c r="AR92" s="72" t="s">
        <v>37</v>
      </c>
      <c r="AT92" s="66" t="s">
        <v>16</v>
      </c>
      <c r="AU92" s="67"/>
      <c r="AV92" s="68"/>
      <c r="AW92" s="69"/>
      <c r="AX92" s="45" t="s">
        <v>34</v>
      </c>
      <c r="AY92" s="51"/>
      <c r="AZ92" s="51"/>
      <c r="BA92" s="51"/>
      <c r="BB92" s="70" t="s">
        <v>35</v>
      </c>
      <c r="BC92" s="51"/>
      <c r="BD92" s="51"/>
      <c r="BE92" s="51"/>
      <c r="BF92" s="71" t="s">
        <v>36</v>
      </c>
      <c r="BG92" s="72" t="s">
        <v>37</v>
      </c>
      <c r="BI92" s="66" t="s">
        <v>16</v>
      </c>
      <c r="BJ92" s="67"/>
      <c r="BK92" s="68"/>
      <c r="BL92" s="69"/>
      <c r="BM92" s="45" t="s">
        <v>34</v>
      </c>
      <c r="BN92" s="51"/>
      <c r="BO92" s="51"/>
      <c r="BP92" s="51"/>
      <c r="BQ92" s="70" t="s">
        <v>35</v>
      </c>
      <c r="BR92" s="51"/>
      <c r="BS92" s="51"/>
      <c r="BT92" s="51"/>
      <c r="BU92" s="71" t="s">
        <v>36</v>
      </c>
      <c r="BV92" s="72" t="s">
        <v>37</v>
      </c>
      <c r="BX92" s="66" t="s">
        <v>16</v>
      </c>
      <c r="BY92" s="67"/>
      <c r="BZ92" s="68"/>
      <c r="CA92" s="69"/>
      <c r="CB92" s="45" t="s">
        <v>34</v>
      </c>
      <c r="CC92" s="51"/>
      <c r="CD92" s="51"/>
      <c r="CE92" s="51"/>
      <c r="CF92" s="70" t="s">
        <v>35</v>
      </c>
      <c r="CG92" s="51"/>
      <c r="CH92" s="51"/>
      <c r="CI92" s="51"/>
      <c r="CJ92" s="71" t="s">
        <v>36</v>
      </c>
      <c r="CK92" s="72" t="s">
        <v>37</v>
      </c>
      <c r="CL92" s="193"/>
      <c r="CM92" s="197">
        <v>89</v>
      </c>
      <c r="CN92" s="197">
        <f t="shared" si="127"/>
        <v>-0.58320473298480235</v>
      </c>
      <c r="CO92" s="197">
        <f t="shared" si="132"/>
        <v>48.025037772501619</v>
      </c>
      <c r="CP92" s="197">
        <f t="shared" si="133"/>
        <v>-1.1329252313540301</v>
      </c>
    </row>
    <row r="93" spans="1:94" ht="15.5" x14ac:dyDescent="0.35">
      <c r="A93" s="32" t="s">
        <v>134</v>
      </c>
      <c r="B93" s="3">
        <v>3.6</v>
      </c>
      <c r="C93" s="24" t="s">
        <v>135</v>
      </c>
      <c r="AE93" s="73" t="s">
        <v>8</v>
      </c>
      <c r="AF93" s="74"/>
      <c r="AG93" s="75"/>
      <c r="AH93" s="76"/>
      <c r="AI93" s="77">
        <v>40</v>
      </c>
      <c r="AJ93" s="78">
        <v>30</v>
      </c>
      <c r="AK93" s="78">
        <v>20</v>
      </c>
      <c r="AL93" s="78">
        <v>10</v>
      </c>
      <c r="AM93" s="78">
        <v>0</v>
      </c>
      <c r="AN93" s="78">
        <v>-10</v>
      </c>
      <c r="AO93" s="78">
        <v>-20</v>
      </c>
      <c r="AP93" s="78">
        <v>-30</v>
      </c>
      <c r="AQ93" s="79">
        <v>-40</v>
      </c>
      <c r="AR93" s="80" t="s">
        <v>8</v>
      </c>
      <c r="AT93" s="73" t="s">
        <v>8</v>
      </c>
      <c r="AU93" s="74"/>
      <c r="AV93" s="75"/>
      <c r="AW93" s="76"/>
      <c r="AX93" s="77">
        <v>40</v>
      </c>
      <c r="AY93" s="78">
        <v>30</v>
      </c>
      <c r="AZ93" s="78">
        <v>20</v>
      </c>
      <c r="BA93" s="78">
        <v>10</v>
      </c>
      <c r="BB93" s="78">
        <v>0</v>
      </c>
      <c r="BC93" s="78">
        <v>-10</v>
      </c>
      <c r="BD93" s="78">
        <v>-20</v>
      </c>
      <c r="BE93" s="78">
        <v>-30</v>
      </c>
      <c r="BF93" s="79">
        <v>-40</v>
      </c>
      <c r="BG93" s="80" t="s">
        <v>8</v>
      </c>
      <c r="BI93" s="73" t="s">
        <v>0</v>
      </c>
      <c r="BJ93" s="74"/>
      <c r="BK93" s="75"/>
      <c r="BL93" s="76"/>
      <c r="BM93" s="77">
        <v>80</v>
      </c>
      <c r="BN93" s="78">
        <v>60</v>
      </c>
      <c r="BO93" s="78">
        <v>40</v>
      </c>
      <c r="BP93" s="78">
        <v>20</v>
      </c>
      <c r="BQ93" s="78">
        <v>0</v>
      </c>
      <c r="BR93" s="78">
        <v>-20</v>
      </c>
      <c r="BS93" s="78">
        <v>-40</v>
      </c>
      <c r="BT93" s="78">
        <v>-60</v>
      </c>
      <c r="BU93" s="79">
        <v>-80</v>
      </c>
      <c r="BV93" s="80" t="s">
        <v>1</v>
      </c>
      <c r="BX93" s="73" t="s">
        <v>0</v>
      </c>
      <c r="BY93" s="74"/>
      <c r="BZ93" s="75"/>
      <c r="CA93" s="76"/>
      <c r="CB93" s="77">
        <v>80</v>
      </c>
      <c r="CC93" s="78">
        <v>60</v>
      </c>
      <c r="CD93" s="78">
        <v>40</v>
      </c>
      <c r="CE93" s="78">
        <v>20</v>
      </c>
      <c r="CF93" s="78">
        <v>0</v>
      </c>
      <c r="CG93" s="78">
        <v>-20</v>
      </c>
      <c r="CH93" s="78">
        <v>-40</v>
      </c>
      <c r="CI93" s="78">
        <v>-60</v>
      </c>
      <c r="CJ93" s="79">
        <v>-80</v>
      </c>
      <c r="CK93" s="80" t="s">
        <v>1</v>
      </c>
      <c r="CL93" s="193"/>
      <c r="CM93" s="197">
        <v>90</v>
      </c>
      <c r="CN93" s="197">
        <f t="shared" si="127"/>
        <v>-0.58185851928366938</v>
      </c>
      <c r="CO93" s="197">
        <f t="shared" si="132"/>
        <v>48.564644938484783</v>
      </c>
      <c r="CP93" s="197">
        <f t="shared" si="133"/>
        <v>-1.1303100957377563</v>
      </c>
    </row>
    <row r="94" spans="1:94" ht="15.5" x14ac:dyDescent="0.35">
      <c r="A94" s="32" t="s">
        <v>132</v>
      </c>
      <c r="B94" s="3">
        <f>1/B93</f>
        <v>0.27777777777777779</v>
      </c>
      <c r="C94" s="24" t="s">
        <v>133</v>
      </c>
      <c r="AE94" s="66">
        <v>6</v>
      </c>
      <c r="AF94" s="81" t="s">
        <v>38</v>
      </c>
      <c r="AG94" s="60">
        <v>5</v>
      </c>
      <c r="AH94" s="71" t="s">
        <v>39</v>
      </c>
      <c r="AI94" s="82">
        <f t="shared" ref="AI94:AQ99" si="196">ROUND($AG94*SmiToFt/AI$103+$AI$11+$AI$12,-2)</f>
        <v>4500</v>
      </c>
      <c r="AJ94" s="82">
        <f t="shared" si="196"/>
        <v>3900</v>
      </c>
      <c r="AK94" s="82">
        <f t="shared" si="196"/>
        <v>3400</v>
      </c>
      <c r="AL94" s="82">
        <f t="shared" si="196"/>
        <v>3100</v>
      </c>
      <c r="AM94" s="83">
        <f t="shared" si="196"/>
        <v>2800</v>
      </c>
      <c r="AN94" s="82">
        <f t="shared" si="196"/>
        <v>2700</v>
      </c>
      <c r="AO94" s="82">
        <f t="shared" si="196"/>
        <v>2500</v>
      </c>
      <c r="AP94" s="82">
        <f t="shared" si="196"/>
        <v>2400</v>
      </c>
      <c r="AQ94" s="82">
        <f t="shared" si="196"/>
        <v>2400</v>
      </c>
      <c r="AR94" s="72" t="s">
        <v>33</v>
      </c>
      <c r="AT94" s="66">
        <v>6</v>
      </c>
      <c r="AU94" s="81" t="s">
        <v>38</v>
      </c>
      <c r="AV94" s="60">
        <v>5</v>
      </c>
      <c r="AW94" s="71" t="s">
        <v>39</v>
      </c>
      <c r="AX94" s="82">
        <f t="shared" ref="AX94:BF99" si="197">ROUND($AV94*SmiToFt/AX$103+$AX$11+$AX$12,-2)</f>
        <v>3700</v>
      </c>
      <c r="AY94" s="82">
        <f t="shared" si="197"/>
        <v>3400</v>
      </c>
      <c r="AZ94" s="82">
        <f t="shared" si="197"/>
        <v>3100</v>
      </c>
      <c r="BA94" s="82">
        <f t="shared" si="197"/>
        <v>3000</v>
      </c>
      <c r="BB94" s="83">
        <f t="shared" si="197"/>
        <v>2800</v>
      </c>
      <c r="BC94" s="82">
        <f t="shared" si="197"/>
        <v>2700</v>
      </c>
      <c r="BD94" s="82">
        <f t="shared" si="197"/>
        <v>2700</v>
      </c>
      <c r="BE94" s="82">
        <f t="shared" si="197"/>
        <v>2600</v>
      </c>
      <c r="BF94" s="82">
        <f t="shared" si="197"/>
        <v>2500</v>
      </c>
      <c r="BG94" s="72" t="s">
        <v>33</v>
      </c>
      <c r="BI94" s="66">
        <v>3</v>
      </c>
      <c r="BJ94" s="81" t="s">
        <v>38</v>
      </c>
      <c r="BK94" s="60">
        <v>10</v>
      </c>
      <c r="BL94" s="71" t="s">
        <v>170</v>
      </c>
      <c r="BM94" s="82">
        <f t="shared" ref="BM94:BU99" si="198">ROUND($BK94*1000/BM$103+$BM$11+$BM$12,-1)</f>
        <v>1620</v>
      </c>
      <c r="BN94" s="82">
        <f t="shared" si="198"/>
        <v>1360</v>
      </c>
      <c r="BO94" s="82">
        <f t="shared" si="198"/>
        <v>1160</v>
      </c>
      <c r="BP94" s="82">
        <f t="shared" si="198"/>
        <v>1020</v>
      </c>
      <c r="BQ94" s="83">
        <f t="shared" si="198"/>
        <v>920</v>
      </c>
      <c r="BR94" s="82">
        <f t="shared" si="198"/>
        <v>860</v>
      </c>
      <c r="BS94" s="82">
        <f t="shared" si="198"/>
        <v>800</v>
      </c>
      <c r="BT94" s="82">
        <f t="shared" si="198"/>
        <v>770</v>
      </c>
      <c r="BU94" s="82">
        <f t="shared" si="198"/>
        <v>740</v>
      </c>
      <c r="BV94" s="72" t="s">
        <v>164</v>
      </c>
      <c r="BX94" s="66">
        <v>3</v>
      </c>
      <c r="BY94" s="81" t="s">
        <v>38</v>
      </c>
      <c r="BZ94" s="60">
        <v>10</v>
      </c>
      <c r="CA94" s="71" t="s">
        <v>170</v>
      </c>
      <c r="CB94" s="82">
        <f t="shared" ref="CB94:CJ99" si="199">ROUND($BZ94*1000/CB$103+$CB$11+$CB$12,-1)</f>
        <v>1310</v>
      </c>
      <c r="CC94" s="82">
        <f t="shared" si="199"/>
        <v>1150</v>
      </c>
      <c r="CD94" s="82">
        <f t="shared" si="199"/>
        <v>1050</v>
      </c>
      <c r="CE94" s="82">
        <f t="shared" si="199"/>
        <v>980</v>
      </c>
      <c r="CF94" s="83">
        <f>ROUND($BZ94*1000/CF$103+$CB$11+$CB$12,-1)</f>
        <v>920</v>
      </c>
      <c r="CG94" s="82">
        <f t="shared" si="199"/>
        <v>880</v>
      </c>
      <c r="CH94" s="82">
        <f t="shared" si="199"/>
        <v>850</v>
      </c>
      <c r="CI94" s="82">
        <f t="shared" si="199"/>
        <v>830</v>
      </c>
      <c r="CJ94" s="82">
        <f t="shared" si="199"/>
        <v>810</v>
      </c>
      <c r="CK94" s="72" t="s">
        <v>164</v>
      </c>
      <c r="CL94" s="193"/>
      <c r="CM94" s="197">
        <v>91</v>
      </c>
      <c r="CN94" s="197">
        <f t="shared" si="127"/>
        <v>-0.58100431389583818</v>
      </c>
      <c r="CO94" s="197">
        <f t="shared" si="132"/>
        <v>49.104252104467946</v>
      </c>
      <c r="CP94" s="197">
        <f t="shared" si="133"/>
        <v>-1.1286507284831737</v>
      </c>
    </row>
    <row r="95" spans="1:94" ht="15.5" x14ac:dyDescent="0.35">
      <c r="A95" s="32" t="s">
        <v>161</v>
      </c>
      <c r="B95" s="3">
        <v>3.28084</v>
      </c>
      <c r="C95" s="32" t="s">
        <v>160</v>
      </c>
      <c r="AE95" s="84"/>
      <c r="AF95" s="53"/>
      <c r="AG95" s="85">
        <v>10</v>
      </c>
      <c r="AH95" s="86" t="s">
        <v>39</v>
      </c>
      <c r="AI95" s="82">
        <f t="shared" si="196"/>
        <v>7000</v>
      </c>
      <c r="AJ95" s="82">
        <f t="shared" si="196"/>
        <v>5800</v>
      </c>
      <c r="AK95" s="82">
        <f t="shared" si="196"/>
        <v>4900</v>
      </c>
      <c r="AL95" s="82">
        <f t="shared" si="196"/>
        <v>4300</v>
      </c>
      <c r="AM95" s="83">
        <f t="shared" si="196"/>
        <v>3800</v>
      </c>
      <c r="AN95" s="82">
        <f t="shared" si="196"/>
        <v>3400</v>
      </c>
      <c r="AO95" s="82">
        <f t="shared" si="196"/>
        <v>3200</v>
      </c>
      <c r="AP95" s="82">
        <f t="shared" si="196"/>
        <v>3000</v>
      </c>
      <c r="AQ95" s="82">
        <f t="shared" si="196"/>
        <v>2800</v>
      </c>
      <c r="AR95" s="87" t="s">
        <v>33</v>
      </c>
      <c r="AT95" s="84"/>
      <c r="AU95" s="53"/>
      <c r="AV95" s="85">
        <v>10</v>
      </c>
      <c r="AW95" s="86" t="s">
        <v>39</v>
      </c>
      <c r="AX95" s="82">
        <f t="shared" si="197"/>
        <v>5500</v>
      </c>
      <c r="AY95" s="82">
        <f t="shared" si="197"/>
        <v>4800</v>
      </c>
      <c r="AZ95" s="82">
        <f t="shared" si="197"/>
        <v>4400</v>
      </c>
      <c r="BA95" s="82">
        <f t="shared" si="197"/>
        <v>4000</v>
      </c>
      <c r="BB95" s="83">
        <f t="shared" si="197"/>
        <v>3800</v>
      </c>
      <c r="BC95" s="82">
        <f t="shared" si="197"/>
        <v>3600</v>
      </c>
      <c r="BD95" s="82">
        <f t="shared" si="197"/>
        <v>3400</v>
      </c>
      <c r="BE95" s="82">
        <f t="shared" si="197"/>
        <v>3300</v>
      </c>
      <c r="BF95" s="82">
        <f t="shared" si="197"/>
        <v>3200</v>
      </c>
      <c r="BG95" s="87" t="s">
        <v>33</v>
      </c>
      <c r="BI95" s="84"/>
      <c r="BJ95" s="53"/>
      <c r="BK95" s="85">
        <v>20</v>
      </c>
      <c r="BL95" s="86" t="s">
        <v>170</v>
      </c>
      <c r="BM95" s="82">
        <f t="shared" si="198"/>
        <v>2660</v>
      </c>
      <c r="BN95" s="82">
        <f t="shared" si="198"/>
        <v>2130</v>
      </c>
      <c r="BO95" s="82">
        <f t="shared" si="198"/>
        <v>1740</v>
      </c>
      <c r="BP95" s="82">
        <f t="shared" si="198"/>
        <v>1470</v>
      </c>
      <c r="BQ95" s="83">
        <f t="shared" si="198"/>
        <v>1270</v>
      </c>
      <c r="BR95" s="82">
        <f t="shared" si="198"/>
        <v>1130</v>
      </c>
      <c r="BS95" s="82">
        <f t="shared" si="198"/>
        <v>1030</v>
      </c>
      <c r="BT95" s="82">
        <f t="shared" si="198"/>
        <v>960</v>
      </c>
      <c r="BU95" s="82">
        <f t="shared" si="198"/>
        <v>900</v>
      </c>
      <c r="BV95" s="87" t="s">
        <v>164</v>
      </c>
      <c r="BX95" s="84"/>
      <c r="BY95" s="53"/>
      <c r="BZ95" s="85">
        <v>20</v>
      </c>
      <c r="CA95" s="86" t="s">
        <v>170</v>
      </c>
      <c r="CB95" s="82">
        <f t="shared" si="199"/>
        <v>2040</v>
      </c>
      <c r="CC95" s="82">
        <f t="shared" si="199"/>
        <v>1720</v>
      </c>
      <c r="CD95" s="82">
        <f t="shared" si="199"/>
        <v>1520</v>
      </c>
      <c r="CE95" s="82">
        <f t="shared" si="199"/>
        <v>1370</v>
      </c>
      <c r="CF95" s="83">
        <f t="shared" ref="CF95:CF99" si="200">ROUND($BZ95*1000/CF$103+$CB$11+$CB$12,-1)</f>
        <v>1270</v>
      </c>
      <c r="CG95" s="82">
        <f t="shared" si="199"/>
        <v>1190</v>
      </c>
      <c r="CH95" s="82">
        <f t="shared" si="199"/>
        <v>1130</v>
      </c>
      <c r="CI95" s="82">
        <f t="shared" si="199"/>
        <v>1070</v>
      </c>
      <c r="CJ95" s="82">
        <f t="shared" si="199"/>
        <v>1030</v>
      </c>
      <c r="CK95" s="87" t="s">
        <v>164</v>
      </c>
      <c r="CL95" s="193"/>
      <c r="CM95" s="197">
        <v>92</v>
      </c>
      <c r="CN95" s="197">
        <f t="shared" si="127"/>
        <v>-0.58064211682130851</v>
      </c>
      <c r="CO95" s="197">
        <f t="shared" si="132"/>
        <v>49.643859270451109</v>
      </c>
      <c r="CP95" s="197">
        <f t="shared" si="133"/>
        <v>-1.1279471295902819</v>
      </c>
    </row>
    <row r="96" spans="1:94" ht="15.5" x14ac:dyDescent="0.35">
      <c r="A96" s="32" t="s">
        <v>162</v>
      </c>
      <c r="B96" s="3">
        <f>1/MToFt</f>
        <v>0.30479999024640031</v>
      </c>
      <c r="C96" s="32" t="s">
        <v>163</v>
      </c>
      <c r="AE96" s="84"/>
      <c r="AF96" s="53"/>
      <c r="AG96" s="85">
        <v>20</v>
      </c>
      <c r="AH96" s="86" t="s">
        <v>39</v>
      </c>
      <c r="AI96" s="82">
        <f t="shared" si="196"/>
        <v>12100</v>
      </c>
      <c r="AJ96" s="82">
        <f t="shared" si="196"/>
        <v>9700</v>
      </c>
      <c r="AK96" s="82">
        <f t="shared" si="196"/>
        <v>7900</v>
      </c>
      <c r="AL96" s="82">
        <f t="shared" si="196"/>
        <v>6600</v>
      </c>
      <c r="AM96" s="83">
        <f t="shared" si="196"/>
        <v>5600</v>
      </c>
      <c r="AN96" s="82">
        <f t="shared" si="196"/>
        <v>4900</v>
      </c>
      <c r="AO96" s="82">
        <f t="shared" si="196"/>
        <v>4400</v>
      </c>
      <c r="AP96" s="82">
        <f t="shared" si="196"/>
        <v>4000</v>
      </c>
      <c r="AQ96" s="82">
        <f t="shared" si="196"/>
        <v>3700</v>
      </c>
      <c r="AR96" s="87" t="s">
        <v>33</v>
      </c>
      <c r="AT96" s="84"/>
      <c r="AU96" s="53"/>
      <c r="AV96" s="85">
        <v>20</v>
      </c>
      <c r="AW96" s="86" t="s">
        <v>39</v>
      </c>
      <c r="AX96" s="82">
        <f t="shared" si="197"/>
        <v>9100</v>
      </c>
      <c r="AY96" s="82">
        <f t="shared" si="197"/>
        <v>7700</v>
      </c>
      <c r="AZ96" s="82">
        <f t="shared" si="197"/>
        <v>6800</v>
      </c>
      <c r="BA96" s="82">
        <f t="shared" si="197"/>
        <v>6100</v>
      </c>
      <c r="BB96" s="83">
        <f t="shared" si="197"/>
        <v>5600</v>
      </c>
      <c r="BC96" s="82">
        <f t="shared" si="197"/>
        <v>5200</v>
      </c>
      <c r="BD96" s="82">
        <f t="shared" si="197"/>
        <v>4900</v>
      </c>
      <c r="BE96" s="82">
        <f t="shared" si="197"/>
        <v>4600</v>
      </c>
      <c r="BF96" s="82">
        <f t="shared" si="197"/>
        <v>4400</v>
      </c>
      <c r="BG96" s="87" t="s">
        <v>33</v>
      </c>
      <c r="BI96" s="84"/>
      <c r="BJ96" s="53"/>
      <c r="BK96" s="85">
        <v>30</v>
      </c>
      <c r="BL96" s="86" t="s">
        <v>170</v>
      </c>
      <c r="BM96" s="82">
        <f t="shared" si="198"/>
        <v>3700</v>
      </c>
      <c r="BN96" s="82">
        <f t="shared" si="198"/>
        <v>2910</v>
      </c>
      <c r="BO96" s="82">
        <f t="shared" si="198"/>
        <v>2330</v>
      </c>
      <c r="BP96" s="82">
        <f t="shared" si="198"/>
        <v>1910</v>
      </c>
      <c r="BQ96" s="83">
        <f t="shared" si="198"/>
        <v>1610</v>
      </c>
      <c r="BR96" s="82">
        <f t="shared" si="198"/>
        <v>1410</v>
      </c>
      <c r="BS96" s="82">
        <f t="shared" si="198"/>
        <v>1250</v>
      </c>
      <c r="BT96" s="82">
        <f t="shared" si="198"/>
        <v>1140</v>
      </c>
      <c r="BU96" s="82">
        <f t="shared" si="198"/>
        <v>1060</v>
      </c>
      <c r="BV96" s="87" t="s">
        <v>164</v>
      </c>
      <c r="BX96" s="84"/>
      <c r="BY96" s="53"/>
      <c r="BZ96" s="85">
        <v>30</v>
      </c>
      <c r="CA96" s="86" t="s">
        <v>170</v>
      </c>
      <c r="CB96" s="82">
        <f t="shared" si="199"/>
        <v>2770</v>
      </c>
      <c r="CC96" s="82">
        <f t="shared" si="199"/>
        <v>2290</v>
      </c>
      <c r="CD96" s="82">
        <f t="shared" si="199"/>
        <v>1990</v>
      </c>
      <c r="CE96" s="82">
        <f t="shared" si="199"/>
        <v>1770</v>
      </c>
      <c r="CF96" s="83">
        <f t="shared" si="200"/>
        <v>1610</v>
      </c>
      <c r="CG96" s="82">
        <f t="shared" si="199"/>
        <v>1490</v>
      </c>
      <c r="CH96" s="82">
        <f t="shared" si="199"/>
        <v>1400</v>
      </c>
      <c r="CI96" s="82">
        <f t="shared" si="199"/>
        <v>1320</v>
      </c>
      <c r="CJ96" s="82">
        <f t="shared" si="199"/>
        <v>1260</v>
      </c>
      <c r="CK96" s="87" t="s">
        <v>164</v>
      </c>
      <c r="CL96" s="193"/>
      <c r="CM96" s="197">
        <v>93</v>
      </c>
      <c r="CN96" s="197">
        <f t="shared" si="127"/>
        <v>-0.58077192806008104</v>
      </c>
      <c r="CO96" s="197">
        <f t="shared" si="132"/>
        <v>50.18346643643428</v>
      </c>
      <c r="CP96" s="197">
        <f t="shared" si="133"/>
        <v>-1.1281992990590826</v>
      </c>
    </row>
    <row r="97" spans="1:94" ht="15.5" x14ac:dyDescent="0.35">
      <c r="A97" s="32" t="s">
        <v>143</v>
      </c>
      <c r="B97" s="3">
        <v>0.62139999999999995</v>
      </c>
      <c r="C97" s="24" t="s">
        <v>141</v>
      </c>
      <c r="AE97" s="84"/>
      <c r="AF97" s="53"/>
      <c r="AG97" s="85">
        <v>30</v>
      </c>
      <c r="AH97" s="86" t="s">
        <v>39</v>
      </c>
      <c r="AI97" s="82">
        <f t="shared" si="196"/>
        <v>17200</v>
      </c>
      <c r="AJ97" s="82">
        <f t="shared" si="196"/>
        <v>13600</v>
      </c>
      <c r="AK97" s="82">
        <f t="shared" si="196"/>
        <v>10900</v>
      </c>
      <c r="AL97" s="82">
        <f t="shared" si="196"/>
        <v>8900</v>
      </c>
      <c r="AM97" s="83">
        <f t="shared" si="196"/>
        <v>7500</v>
      </c>
      <c r="AN97" s="82">
        <f t="shared" si="196"/>
        <v>6400</v>
      </c>
      <c r="AO97" s="82">
        <f t="shared" si="196"/>
        <v>5600</v>
      </c>
      <c r="AP97" s="82">
        <f t="shared" si="196"/>
        <v>5100</v>
      </c>
      <c r="AQ97" s="82">
        <f t="shared" si="196"/>
        <v>4600</v>
      </c>
      <c r="AR97" s="87" t="s">
        <v>33</v>
      </c>
      <c r="AT97" s="84"/>
      <c r="AU97" s="53"/>
      <c r="AV97" s="85">
        <v>30</v>
      </c>
      <c r="AW97" s="86" t="s">
        <v>39</v>
      </c>
      <c r="AX97" s="82">
        <f t="shared" si="197"/>
        <v>12700</v>
      </c>
      <c r="AY97" s="82">
        <f t="shared" si="197"/>
        <v>10600</v>
      </c>
      <c r="AZ97" s="82">
        <f t="shared" si="197"/>
        <v>9200</v>
      </c>
      <c r="BA97" s="82">
        <f t="shared" si="197"/>
        <v>8200</v>
      </c>
      <c r="BB97" s="83">
        <f t="shared" si="197"/>
        <v>7500</v>
      </c>
      <c r="BC97" s="82">
        <f t="shared" si="197"/>
        <v>6900</v>
      </c>
      <c r="BD97" s="82">
        <f t="shared" si="197"/>
        <v>6400</v>
      </c>
      <c r="BE97" s="82">
        <f t="shared" si="197"/>
        <v>6000</v>
      </c>
      <c r="BF97" s="82">
        <f t="shared" si="197"/>
        <v>5700</v>
      </c>
      <c r="BG97" s="87" t="s">
        <v>33</v>
      </c>
      <c r="BI97" s="84"/>
      <c r="BJ97" s="53"/>
      <c r="BK97" s="85">
        <v>40</v>
      </c>
      <c r="BL97" s="86" t="s">
        <v>170</v>
      </c>
      <c r="BM97" s="82">
        <f t="shared" si="198"/>
        <v>4740</v>
      </c>
      <c r="BN97" s="82">
        <f t="shared" si="198"/>
        <v>3680</v>
      </c>
      <c r="BO97" s="82">
        <f t="shared" si="198"/>
        <v>2910</v>
      </c>
      <c r="BP97" s="82">
        <f t="shared" si="198"/>
        <v>2350</v>
      </c>
      <c r="BQ97" s="83">
        <f t="shared" si="198"/>
        <v>1960</v>
      </c>
      <c r="BR97" s="82">
        <f t="shared" si="198"/>
        <v>1680</v>
      </c>
      <c r="BS97" s="82">
        <f t="shared" si="198"/>
        <v>1480</v>
      </c>
      <c r="BT97" s="82">
        <f t="shared" si="198"/>
        <v>1330</v>
      </c>
      <c r="BU97" s="82">
        <f t="shared" si="198"/>
        <v>1220</v>
      </c>
      <c r="BV97" s="87" t="s">
        <v>164</v>
      </c>
      <c r="BX97" s="84"/>
      <c r="BY97" s="53"/>
      <c r="BZ97" s="85">
        <v>40</v>
      </c>
      <c r="CA97" s="86" t="s">
        <v>170</v>
      </c>
      <c r="CB97" s="82">
        <f t="shared" si="199"/>
        <v>3500</v>
      </c>
      <c r="CC97" s="82">
        <f t="shared" si="199"/>
        <v>2860</v>
      </c>
      <c r="CD97" s="82">
        <f t="shared" si="199"/>
        <v>2450</v>
      </c>
      <c r="CE97" s="82">
        <f t="shared" si="199"/>
        <v>2170</v>
      </c>
      <c r="CF97" s="83">
        <f t="shared" si="200"/>
        <v>1960</v>
      </c>
      <c r="CG97" s="82">
        <f t="shared" si="199"/>
        <v>1800</v>
      </c>
      <c r="CH97" s="82">
        <f t="shared" si="199"/>
        <v>1670</v>
      </c>
      <c r="CI97" s="82">
        <f t="shared" si="199"/>
        <v>1570</v>
      </c>
      <c r="CJ97" s="82">
        <f t="shared" si="199"/>
        <v>1480</v>
      </c>
      <c r="CK97" s="87" t="s">
        <v>164</v>
      </c>
      <c r="CL97" s="193"/>
      <c r="CM97" s="197">
        <v>94</v>
      </c>
      <c r="CN97" s="197">
        <f t="shared" si="127"/>
        <v>-0.58139374761215534</v>
      </c>
      <c r="CO97" s="197">
        <f t="shared" si="132"/>
        <v>50.723073602417443</v>
      </c>
      <c r="CP97" s="197">
        <f t="shared" si="133"/>
        <v>-1.1294072368895745</v>
      </c>
    </row>
    <row r="98" spans="1:94" ht="15.5" x14ac:dyDescent="0.35">
      <c r="A98" s="32" t="s">
        <v>142</v>
      </c>
      <c r="B98" s="3">
        <f>1/B97</f>
        <v>1.60926939169617</v>
      </c>
      <c r="C98" s="24" t="s">
        <v>140</v>
      </c>
      <c r="AE98" s="84"/>
      <c r="AF98" s="53"/>
      <c r="AG98" s="85">
        <v>40</v>
      </c>
      <c r="AH98" s="86" t="s">
        <v>39</v>
      </c>
      <c r="AI98" s="82">
        <f t="shared" si="196"/>
        <v>22300</v>
      </c>
      <c r="AJ98" s="82">
        <f t="shared" si="196"/>
        <v>17500</v>
      </c>
      <c r="AK98" s="82">
        <f t="shared" si="196"/>
        <v>13900</v>
      </c>
      <c r="AL98" s="82">
        <f t="shared" si="196"/>
        <v>11200</v>
      </c>
      <c r="AM98" s="83">
        <f t="shared" si="196"/>
        <v>9300</v>
      </c>
      <c r="AN98" s="82">
        <f t="shared" si="196"/>
        <v>7900</v>
      </c>
      <c r="AO98" s="82">
        <f t="shared" si="196"/>
        <v>6900</v>
      </c>
      <c r="AP98" s="82">
        <f t="shared" si="196"/>
        <v>6100</v>
      </c>
      <c r="AQ98" s="82">
        <f t="shared" si="196"/>
        <v>5500</v>
      </c>
      <c r="AR98" s="87" t="s">
        <v>33</v>
      </c>
      <c r="AT98" s="84"/>
      <c r="AU98" s="53"/>
      <c r="AV98" s="85">
        <v>40</v>
      </c>
      <c r="AW98" s="86" t="s">
        <v>39</v>
      </c>
      <c r="AX98" s="82">
        <f t="shared" si="197"/>
        <v>16300</v>
      </c>
      <c r="AY98" s="82">
        <f t="shared" si="197"/>
        <v>13500</v>
      </c>
      <c r="AZ98" s="82">
        <f t="shared" si="197"/>
        <v>11700</v>
      </c>
      <c r="BA98" s="82">
        <f t="shared" si="197"/>
        <v>10300</v>
      </c>
      <c r="BB98" s="83">
        <f t="shared" si="197"/>
        <v>9300</v>
      </c>
      <c r="BC98" s="82">
        <f t="shared" si="197"/>
        <v>8500</v>
      </c>
      <c r="BD98" s="82">
        <f t="shared" si="197"/>
        <v>7900</v>
      </c>
      <c r="BE98" s="82">
        <f t="shared" si="197"/>
        <v>7400</v>
      </c>
      <c r="BF98" s="82">
        <f t="shared" si="197"/>
        <v>6900</v>
      </c>
      <c r="BG98" s="87" t="s">
        <v>33</v>
      </c>
      <c r="BI98" s="84"/>
      <c r="BJ98" s="53"/>
      <c r="BK98" s="85">
        <v>50</v>
      </c>
      <c r="BL98" s="86" t="s">
        <v>170</v>
      </c>
      <c r="BM98" s="82">
        <f t="shared" si="198"/>
        <v>5780</v>
      </c>
      <c r="BN98" s="82">
        <f t="shared" si="198"/>
        <v>4460</v>
      </c>
      <c r="BO98" s="82">
        <f t="shared" si="198"/>
        <v>3490</v>
      </c>
      <c r="BP98" s="82">
        <f t="shared" si="198"/>
        <v>2800</v>
      </c>
      <c r="BQ98" s="83">
        <f t="shared" si="198"/>
        <v>2300</v>
      </c>
      <c r="BR98" s="82">
        <f t="shared" si="198"/>
        <v>1960</v>
      </c>
      <c r="BS98" s="82">
        <f t="shared" si="198"/>
        <v>1700</v>
      </c>
      <c r="BT98" s="82">
        <f t="shared" si="198"/>
        <v>1520</v>
      </c>
      <c r="BU98" s="82">
        <f t="shared" si="198"/>
        <v>1380</v>
      </c>
      <c r="BV98" s="87" t="s">
        <v>164</v>
      </c>
      <c r="BX98" s="84"/>
      <c r="BY98" s="53"/>
      <c r="BZ98" s="85">
        <v>50</v>
      </c>
      <c r="CA98" s="86" t="s">
        <v>170</v>
      </c>
      <c r="CB98" s="82">
        <f t="shared" si="199"/>
        <v>4230</v>
      </c>
      <c r="CC98" s="82">
        <f t="shared" si="199"/>
        <v>3430</v>
      </c>
      <c r="CD98" s="82">
        <f t="shared" si="199"/>
        <v>2920</v>
      </c>
      <c r="CE98" s="82">
        <f t="shared" si="199"/>
        <v>2570</v>
      </c>
      <c r="CF98" s="83">
        <f t="shared" si="200"/>
        <v>2300</v>
      </c>
      <c r="CG98" s="82">
        <f t="shared" si="199"/>
        <v>2100</v>
      </c>
      <c r="CH98" s="82">
        <f t="shared" si="199"/>
        <v>1950</v>
      </c>
      <c r="CI98" s="82">
        <f t="shared" si="199"/>
        <v>1820</v>
      </c>
      <c r="CJ98" s="82">
        <f t="shared" si="199"/>
        <v>1710</v>
      </c>
      <c r="CK98" s="87" t="s">
        <v>164</v>
      </c>
      <c r="CL98" s="193"/>
      <c r="CM98" s="197">
        <v>95</v>
      </c>
      <c r="CN98" s="197">
        <f t="shared" si="127"/>
        <v>-0.58250757547753085</v>
      </c>
      <c r="CO98" s="197">
        <f t="shared" si="132"/>
        <v>51.262680768400607</v>
      </c>
      <c r="CP98" s="197">
        <f t="shared" si="133"/>
        <v>-1.1315709430817564</v>
      </c>
    </row>
    <row r="99" spans="1:94" ht="15.5" x14ac:dyDescent="0.35">
      <c r="A99" s="32" t="s">
        <v>145</v>
      </c>
      <c r="B99" s="3">
        <v>1.8532</v>
      </c>
      <c r="C99" s="24" t="s">
        <v>147</v>
      </c>
      <c r="AE99" s="84"/>
      <c r="AF99" s="53"/>
      <c r="AG99" s="85">
        <v>50</v>
      </c>
      <c r="AH99" s="86" t="s">
        <v>39</v>
      </c>
      <c r="AI99" s="82">
        <f t="shared" si="196"/>
        <v>27400</v>
      </c>
      <c r="AJ99" s="82">
        <f t="shared" si="196"/>
        <v>21400</v>
      </c>
      <c r="AK99" s="82">
        <f t="shared" si="196"/>
        <v>16900</v>
      </c>
      <c r="AL99" s="82">
        <f t="shared" si="196"/>
        <v>13600</v>
      </c>
      <c r="AM99" s="83">
        <f t="shared" si="196"/>
        <v>11200</v>
      </c>
      <c r="AN99" s="82">
        <f t="shared" si="196"/>
        <v>9400</v>
      </c>
      <c r="AO99" s="82">
        <f t="shared" si="196"/>
        <v>8100</v>
      </c>
      <c r="AP99" s="82">
        <f t="shared" si="196"/>
        <v>7200</v>
      </c>
      <c r="AQ99" s="82">
        <f t="shared" si="196"/>
        <v>6400</v>
      </c>
      <c r="AR99" s="87" t="s">
        <v>33</v>
      </c>
      <c r="AT99" s="84"/>
      <c r="AU99" s="53"/>
      <c r="AV99" s="85">
        <v>50</v>
      </c>
      <c r="AW99" s="86" t="s">
        <v>39</v>
      </c>
      <c r="AX99" s="82">
        <f t="shared" si="197"/>
        <v>19900</v>
      </c>
      <c r="AY99" s="82">
        <f t="shared" si="197"/>
        <v>16500</v>
      </c>
      <c r="AZ99" s="82">
        <f t="shared" si="197"/>
        <v>14100</v>
      </c>
      <c r="BA99" s="82">
        <f t="shared" si="197"/>
        <v>12400</v>
      </c>
      <c r="BB99" s="83">
        <f t="shared" si="197"/>
        <v>11200</v>
      </c>
      <c r="BC99" s="82">
        <f t="shared" si="197"/>
        <v>10200</v>
      </c>
      <c r="BD99" s="82">
        <f t="shared" si="197"/>
        <v>9400</v>
      </c>
      <c r="BE99" s="82">
        <f t="shared" si="197"/>
        <v>8700</v>
      </c>
      <c r="BF99" s="82">
        <f t="shared" si="197"/>
        <v>8200</v>
      </c>
      <c r="BG99" s="87" t="s">
        <v>33</v>
      </c>
      <c r="BI99" s="84"/>
      <c r="BJ99" s="53"/>
      <c r="BK99" s="85">
        <v>100</v>
      </c>
      <c r="BL99" s="86" t="s">
        <v>170</v>
      </c>
      <c r="BM99" s="82">
        <f t="shared" si="198"/>
        <v>10990</v>
      </c>
      <c r="BN99" s="82">
        <f t="shared" si="198"/>
        <v>8340</v>
      </c>
      <c r="BO99" s="82">
        <f t="shared" si="198"/>
        <v>6400</v>
      </c>
      <c r="BP99" s="82">
        <f t="shared" si="198"/>
        <v>5010</v>
      </c>
      <c r="BQ99" s="83">
        <f t="shared" si="198"/>
        <v>4030</v>
      </c>
      <c r="BR99" s="82">
        <f t="shared" si="198"/>
        <v>3330</v>
      </c>
      <c r="BS99" s="82">
        <f t="shared" si="198"/>
        <v>2830</v>
      </c>
      <c r="BT99" s="82">
        <f t="shared" si="198"/>
        <v>2460</v>
      </c>
      <c r="BU99" s="82">
        <f t="shared" si="198"/>
        <v>2180</v>
      </c>
      <c r="BV99" s="87" t="s">
        <v>164</v>
      </c>
      <c r="BX99" s="84"/>
      <c r="BY99" s="53"/>
      <c r="BZ99" s="85">
        <v>100</v>
      </c>
      <c r="CA99" s="86" t="s">
        <v>170</v>
      </c>
      <c r="CB99" s="82">
        <f t="shared" si="199"/>
        <v>7870</v>
      </c>
      <c r="CC99" s="82">
        <f t="shared" si="199"/>
        <v>6280</v>
      </c>
      <c r="CD99" s="82">
        <f t="shared" si="199"/>
        <v>5260</v>
      </c>
      <c r="CE99" s="82">
        <f t="shared" si="199"/>
        <v>4550</v>
      </c>
      <c r="CF99" s="83">
        <f t="shared" si="200"/>
        <v>4030</v>
      </c>
      <c r="CG99" s="82">
        <f t="shared" si="199"/>
        <v>3630</v>
      </c>
      <c r="CH99" s="82">
        <f t="shared" si="199"/>
        <v>3310</v>
      </c>
      <c r="CI99" s="82">
        <f t="shared" si="199"/>
        <v>3050</v>
      </c>
      <c r="CJ99" s="82">
        <f t="shared" si="199"/>
        <v>2840</v>
      </c>
      <c r="CK99" s="87" t="s">
        <v>164</v>
      </c>
      <c r="CL99" s="193"/>
      <c r="CM99" s="197">
        <v>96</v>
      </c>
      <c r="CN99" s="197">
        <f t="shared" si="127"/>
        <v>-0.58411341165620878</v>
      </c>
      <c r="CO99" s="197">
        <f t="shared" si="132"/>
        <v>51.80228793438377</v>
      </c>
      <c r="CP99" s="197">
        <f t="shared" si="133"/>
        <v>-1.1346904176356314</v>
      </c>
    </row>
    <row r="100" spans="1:94" ht="15.5" x14ac:dyDescent="0.35">
      <c r="A100" s="32" t="s">
        <v>144</v>
      </c>
      <c r="B100" s="3">
        <f>1/B99</f>
        <v>0.53960716598316427</v>
      </c>
      <c r="C100" s="24" t="s">
        <v>146</v>
      </c>
      <c r="AE100" s="88"/>
      <c r="AF100" s="89"/>
      <c r="AG100" s="61"/>
      <c r="AH100" s="90" t="s">
        <v>40</v>
      </c>
      <c r="AI100" s="91">
        <f>KphToKts*(aRprime*AI80*KtsToKph-SQRT(aRprime*(aRprime*(AI80*KtsToKph)^2-$AE94*KtsToKph+bRprime*AI80*KtsToKph+cRprime)))/aRprime</f>
        <v>106.62233829477263</v>
      </c>
      <c r="AJ100" s="91">
        <f>KphToKts*(aRprime*AJ80*KtsToKph-SQRT(aRprime*(aRprime*(AJ80*KtsToKph)^2-$AE94*KtsToKph+bRprime*AJ80*KtsToKph+cRprime)))/aRprime</f>
        <v>98.803792213690159</v>
      </c>
      <c r="AK100" s="91">
        <f>KphToKts*(aRprime*AK80*KtsToKph-SQRT(aRprime*(aRprime*(AK80*KtsToKph)^2-$AE94*KtsToKph+bRprime*AK80*KtsToKph+cRprime)))/aRprime</f>
        <v>92.314505364457617</v>
      </c>
      <c r="AL100" s="91">
        <f>KphToKts*(aRprime*AL80*KtsToKph-SQRT(aRprime*(aRprime*(AL80*KtsToKph)^2-$AE94*KtsToKph+bRprime*AL80*KtsToKph+cRprime)))/aRprime</f>
        <v>86.972810454261634</v>
      </c>
      <c r="AM100" s="178">
        <f>KphToKts*(aRprime*AM93*KtsToKph-SQRT(aRprime*(aRprime*(AM93*KtsToKph)^2-$AE94*KtsToKph+bRprime*AM93*KtsToKph+cRprime)))/aRprime</f>
        <v>82.584740796040577</v>
      </c>
      <c r="AN100" s="91">
        <f>KphToKts*(aRprime*AN80*KtsToKph-SQRT(aRprime*(aRprime*(AN80*KtsToKph)^2-$AE94*KtsToKph+bRprime*AN80*KtsToKph+cRprime)))/aRprime</f>
        <v>78.970024589581442</v>
      </c>
      <c r="AO100" s="91">
        <f>KphToKts*(aRprime*AO80*KtsToKph-SQRT(aRprime*(aRprime*(AO80*KtsToKph)^2-$AE94*KtsToKph+bRprime*AO80*KtsToKph+cRprime)))/aRprime</f>
        <v>75.974429608058855</v>
      </c>
      <c r="AP100" s="91">
        <f>KphToKts*(aRprime*AP80*KtsToKph-SQRT(aRprime*(aRprime*(AP80*KtsToKph)^2-$AE94*KtsToKph+bRprime*AP80*KtsToKph+cRprime)))/aRprime</f>
        <v>73.472300649564019</v>
      </c>
      <c r="AQ100" s="91">
        <f>KphToKts*(aRprime*AQ80*KtsToKph-SQRT(aRprime*(aRprime*(AQ80*KtsToKph)^2-$AE94*KtsToKph+bRprime*AQ80*KtsToKph+cRprime)))/aRprime</f>
        <v>71.364010635551764</v>
      </c>
      <c r="AR100" s="72" t="s">
        <v>8</v>
      </c>
      <c r="AT100" s="88"/>
      <c r="AU100" s="89"/>
      <c r="AV100" s="61"/>
      <c r="AW100" s="90" t="s">
        <v>40</v>
      </c>
      <c r="AX100" s="177">
        <f t="shared" ref="AX100:BF100" si="201">KphToKts*(-1*SQRT(aRprime*(-$AT94*KtsToKph+cRprime)))/aRprime</f>
        <v>82.584740796040577</v>
      </c>
      <c r="AY100" s="177">
        <f t="shared" si="201"/>
        <v>82.584740796040577</v>
      </c>
      <c r="AZ100" s="177">
        <f t="shared" si="201"/>
        <v>82.584740796040577</v>
      </c>
      <c r="BA100" s="177">
        <f t="shared" si="201"/>
        <v>82.584740796040577</v>
      </c>
      <c r="BB100" s="178">
        <f t="shared" si="201"/>
        <v>82.584740796040577</v>
      </c>
      <c r="BC100" s="177">
        <f t="shared" si="201"/>
        <v>82.584740796040577</v>
      </c>
      <c r="BD100" s="177">
        <f t="shared" si="201"/>
        <v>82.584740796040577</v>
      </c>
      <c r="BE100" s="177">
        <f t="shared" si="201"/>
        <v>82.584740796040577</v>
      </c>
      <c r="BF100" s="177">
        <f t="shared" si="201"/>
        <v>82.584740796040577</v>
      </c>
      <c r="BG100" s="72" t="s">
        <v>8</v>
      </c>
      <c r="BI100" s="88"/>
      <c r="BJ100" s="89"/>
      <c r="BK100" s="61"/>
      <c r="BL100" s="90" t="s">
        <v>40</v>
      </c>
      <c r="BM100" s="177">
        <f t="shared" ref="BM100:BU100" si="202">(aRprime*BM93-SQRT(aRprime*(aRprime*BM93^2-$BI94*MpsToKph+bRprime*BM93+cRprime)))/aRprime</f>
        <v>201.26367004241618</v>
      </c>
      <c r="BN100" s="177">
        <f t="shared" si="202"/>
        <v>184.8772360809991</v>
      </c>
      <c r="BO100" s="177">
        <f t="shared" si="202"/>
        <v>171.46775464083652</v>
      </c>
      <c r="BP100" s="177">
        <f t="shared" si="202"/>
        <v>160.61727109205606</v>
      </c>
      <c r="BQ100" s="178">
        <f t="shared" si="202"/>
        <v>151.86396329758549</v>
      </c>
      <c r="BR100" s="177">
        <f t="shared" si="202"/>
        <v>144.77897246773929</v>
      </c>
      <c r="BS100" s="177">
        <f t="shared" si="202"/>
        <v>139.00155358710603</v>
      </c>
      <c r="BT100" s="177">
        <f t="shared" si="202"/>
        <v>134.24469775433045</v>
      </c>
      <c r="BU100" s="177">
        <f t="shared" si="202"/>
        <v>130.28658783846575</v>
      </c>
      <c r="BV100" s="72" t="s">
        <v>1</v>
      </c>
      <c r="BX100" s="88"/>
      <c r="BY100" s="89"/>
      <c r="BZ100" s="61"/>
      <c r="CA100" s="90" t="s">
        <v>40</v>
      </c>
      <c r="CB100" s="177">
        <f t="shared" ref="CB100:CJ100" si="203">(-1*SQRT(aRprime*(-$BX94*MpsToKph+cRprime)))/aRprime</f>
        <v>151.86396329758549</v>
      </c>
      <c r="CC100" s="177">
        <f t="shared" si="203"/>
        <v>151.86396329758549</v>
      </c>
      <c r="CD100" s="177">
        <f t="shared" si="203"/>
        <v>151.86396329758549</v>
      </c>
      <c r="CE100" s="177">
        <f t="shared" si="203"/>
        <v>151.86396329758549</v>
      </c>
      <c r="CF100" s="178">
        <f t="shared" si="203"/>
        <v>151.86396329758549</v>
      </c>
      <c r="CG100" s="177">
        <f t="shared" si="203"/>
        <v>151.86396329758549</v>
      </c>
      <c r="CH100" s="177">
        <f t="shared" si="203"/>
        <v>151.86396329758549</v>
      </c>
      <c r="CI100" s="177">
        <f t="shared" si="203"/>
        <v>151.86396329758549</v>
      </c>
      <c r="CJ100" s="177">
        <f t="shared" si="203"/>
        <v>151.86396329758549</v>
      </c>
      <c r="CK100" s="72" t="s">
        <v>1</v>
      </c>
      <c r="CL100" s="193"/>
      <c r="CM100" s="197">
        <v>97</v>
      </c>
      <c r="CN100" s="197">
        <f t="shared" si="127"/>
        <v>-0.58621125614818881</v>
      </c>
      <c r="CO100" s="197">
        <f t="shared" si="132"/>
        <v>52.341895100366933</v>
      </c>
      <c r="CP100" s="197">
        <f t="shared" si="133"/>
        <v>-1.1387656605511978</v>
      </c>
    </row>
    <row r="101" spans="1:94" ht="15.5" x14ac:dyDescent="0.35">
      <c r="A101" s="32" t="s">
        <v>165</v>
      </c>
      <c r="B101" s="3">
        <v>1.151</v>
      </c>
      <c r="C101" s="24" t="s">
        <v>148</v>
      </c>
      <c r="AE101" s="84"/>
      <c r="AF101" s="62"/>
      <c r="AG101" s="63"/>
      <c r="AH101" s="92" t="s">
        <v>41</v>
      </c>
      <c r="AI101" s="190">
        <f t="shared" ref="AI101:AQ101" si="204">KphToKts*($AE94*KtsToKph-AI93*KtsToKph*(2*aRprime*AI100*KtsToKph+bRprime))</f>
        <v>13.464413293905888</v>
      </c>
      <c r="AJ101" s="190">
        <f t="shared" si="204"/>
        <v>10.828391943888287</v>
      </c>
      <c r="AK101" s="190">
        <f t="shared" si="204"/>
        <v>8.7929136394851444</v>
      </c>
      <c r="AL101" s="190">
        <f t="shared" si="204"/>
        <v>7.2211187129303704</v>
      </c>
      <c r="AM101" s="190">
        <f t="shared" si="204"/>
        <v>6</v>
      </c>
      <c r="AN101" s="190">
        <f t="shared" si="204"/>
        <v>5.0415681956869882</v>
      </c>
      <c r="AO101" s="190">
        <f t="shared" si="204"/>
        <v>4.279793805047583</v>
      </c>
      <c r="AP101" s="190">
        <f t="shared" si="204"/>
        <v>3.6660836008149009</v>
      </c>
      <c r="AQ101" s="190">
        <f t="shared" si="204"/>
        <v>3.1649251651902319</v>
      </c>
      <c r="AR101" s="93" t="s">
        <v>8</v>
      </c>
      <c r="AT101" s="84"/>
      <c r="AU101" s="62"/>
      <c r="AV101" s="63"/>
      <c r="AW101" s="92" t="s">
        <v>41</v>
      </c>
      <c r="AX101" s="207">
        <f t="shared" ref="AX101:BF101" si="205">$AT94</f>
        <v>6</v>
      </c>
      <c r="AY101" s="207">
        <f t="shared" si="205"/>
        <v>6</v>
      </c>
      <c r="AZ101" s="207">
        <f t="shared" si="205"/>
        <v>6</v>
      </c>
      <c r="BA101" s="207">
        <f t="shared" si="205"/>
        <v>6</v>
      </c>
      <c r="BB101" s="207">
        <f t="shared" si="205"/>
        <v>6</v>
      </c>
      <c r="BC101" s="207">
        <f t="shared" si="205"/>
        <v>6</v>
      </c>
      <c r="BD101" s="207">
        <f t="shared" si="205"/>
        <v>6</v>
      </c>
      <c r="BE101" s="207">
        <f t="shared" si="205"/>
        <v>6</v>
      </c>
      <c r="BF101" s="207">
        <f t="shared" si="205"/>
        <v>6</v>
      </c>
      <c r="BG101" s="93" t="s">
        <v>8</v>
      </c>
      <c r="BI101" s="84"/>
      <c r="BJ101" s="62"/>
      <c r="BK101" s="63"/>
      <c r="BL101" s="92" t="s">
        <v>41</v>
      </c>
      <c r="BM101" s="190">
        <f t="shared" ref="BM101:BU101" si="206">KphToMps*($BI94*MpsToKph-BM93*(2*aRprime*BM100+bRprime))</f>
        <v>7.2913952867886396</v>
      </c>
      <c r="BN101" s="190">
        <f t="shared" si="206"/>
        <v>5.7348107610281636</v>
      </c>
      <c r="BO101" s="190">
        <f t="shared" si="206"/>
        <v>4.5593041201937137</v>
      </c>
      <c r="BP101" s="190">
        <f t="shared" si="206"/>
        <v>3.6728814979099629</v>
      </c>
      <c r="BQ101" s="190">
        <f t="shared" si="206"/>
        <v>3.0000000000000004</v>
      </c>
      <c r="BR101" s="190">
        <f t="shared" si="206"/>
        <v>2.4829699939244527</v>
      </c>
      <c r="BS101" s="190">
        <f t="shared" si="206"/>
        <v>2.0796415125968446</v>
      </c>
      <c r="BT101" s="190">
        <f t="shared" si="206"/>
        <v>1.7598870257894994</v>
      </c>
      <c r="BU101" s="190">
        <f t="shared" si="206"/>
        <v>1.5023098730714251</v>
      </c>
      <c r="BV101" s="93" t="s">
        <v>0</v>
      </c>
      <c r="BX101" s="84"/>
      <c r="BY101" s="62"/>
      <c r="BZ101" s="63"/>
      <c r="CA101" s="92" t="s">
        <v>41</v>
      </c>
      <c r="CB101" s="207">
        <f t="shared" ref="CB101:CE101" si="207">$BX94</f>
        <v>3</v>
      </c>
      <c r="CC101" s="207">
        <f t="shared" si="207"/>
        <v>3</v>
      </c>
      <c r="CD101" s="207">
        <f t="shared" si="207"/>
        <v>3</v>
      </c>
      <c r="CE101" s="207">
        <f t="shared" si="207"/>
        <v>3</v>
      </c>
      <c r="CF101" s="207">
        <f>$BX94</f>
        <v>3</v>
      </c>
      <c r="CG101" s="207">
        <f t="shared" ref="CG101:CJ101" si="208">$BX94</f>
        <v>3</v>
      </c>
      <c r="CH101" s="207">
        <f t="shared" si="208"/>
        <v>3</v>
      </c>
      <c r="CI101" s="207">
        <f t="shared" si="208"/>
        <v>3</v>
      </c>
      <c r="CJ101" s="207">
        <f t="shared" si="208"/>
        <v>3</v>
      </c>
      <c r="CK101" s="93" t="s">
        <v>0</v>
      </c>
      <c r="CL101" s="193"/>
      <c r="CM101" s="197">
        <v>98</v>
      </c>
      <c r="CN101" s="197">
        <f t="shared" si="127"/>
        <v>-0.58880110895346993</v>
      </c>
      <c r="CO101" s="197">
        <f t="shared" si="132"/>
        <v>52.881502266350097</v>
      </c>
      <c r="CP101" s="197">
        <f t="shared" si="133"/>
        <v>-1.1437966718284545</v>
      </c>
    </row>
    <row r="102" spans="1:94" ht="15.5" x14ac:dyDescent="0.35">
      <c r="A102" s="32" t="s">
        <v>149</v>
      </c>
      <c r="B102" s="3">
        <f>1/B101</f>
        <v>0.86880973066898348</v>
      </c>
      <c r="C102" s="24" t="s">
        <v>150</v>
      </c>
      <c r="AE102" s="94"/>
      <c r="AF102" s="89"/>
      <c r="AG102" s="61"/>
      <c r="AH102" s="71" t="s">
        <v>49</v>
      </c>
      <c r="AI102" s="95">
        <f t="shared" ref="AI102:AL102" si="209">AI100-AI93</f>
        <v>66.622338294772632</v>
      </c>
      <c r="AJ102" s="95">
        <f t="shared" si="209"/>
        <v>68.803792213690159</v>
      </c>
      <c r="AK102" s="95">
        <f t="shared" si="209"/>
        <v>72.314505364457617</v>
      </c>
      <c r="AL102" s="95">
        <f t="shared" si="209"/>
        <v>76.972810454261634</v>
      </c>
      <c r="AM102" s="95">
        <f>AM100-AM93</f>
        <v>82.584740796040577</v>
      </c>
      <c r="AN102" s="95">
        <f t="shared" ref="AN102:AQ102" si="210">AN100-AN93</f>
        <v>88.970024589581442</v>
      </c>
      <c r="AO102" s="95">
        <f t="shared" si="210"/>
        <v>95.974429608058855</v>
      </c>
      <c r="AP102" s="95">
        <f t="shared" si="210"/>
        <v>103.47230064956402</v>
      </c>
      <c r="AQ102" s="95">
        <f t="shared" si="210"/>
        <v>111.36401063555176</v>
      </c>
      <c r="AR102" s="96" t="s">
        <v>8</v>
      </c>
      <c r="AT102" s="94"/>
      <c r="AU102" s="89"/>
      <c r="AV102" s="61"/>
      <c r="AW102" s="71" t="s">
        <v>49</v>
      </c>
      <c r="AX102" s="95">
        <f t="shared" ref="AX102:BA102" si="211">AX100-AX93</f>
        <v>42.584740796040577</v>
      </c>
      <c r="AY102" s="95">
        <f t="shared" si="211"/>
        <v>52.584740796040577</v>
      </c>
      <c r="AZ102" s="95">
        <f t="shared" si="211"/>
        <v>62.584740796040577</v>
      </c>
      <c r="BA102" s="95">
        <f t="shared" si="211"/>
        <v>72.584740796040577</v>
      </c>
      <c r="BB102" s="95">
        <f>BB100-BB93</f>
        <v>82.584740796040577</v>
      </c>
      <c r="BC102" s="95">
        <f t="shared" ref="BC102:BF102" si="212">BC100-BC93</f>
        <v>92.584740796040577</v>
      </c>
      <c r="BD102" s="95">
        <f t="shared" si="212"/>
        <v>102.58474079604058</v>
      </c>
      <c r="BE102" s="95">
        <f t="shared" si="212"/>
        <v>112.58474079604058</v>
      </c>
      <c r="BF102" s="95">
        <f t="shared" si="212"/>
        <v>122.58474079604058</v>
      </c>
      <c r="BG102" s="96" t="s">
        <v>8</v>
      </c>
      <c r="BI102" s="94"/>
      <c r="BJ102" s="89"/>
      <c r="BK102" s="61"/>
      <c r="BL102" s="71" t="s">
        <v>49</v>
      </c>
      <c r="BM102" s="95">
        <f t="shared" ref="BM102:BP102" si="213">BM100-BM93</f>
        <v>121.26367004241618</v>
      </c>
      <c r="BN102" s="95">
        <f t="shared" si="213"/>
        <v>124.8772360809991</v>
      </c>
      <c r="BO102" s="95">
        <f t="shared" si="213"/>
        <v>131.46775464083652</v>
      </c>
      <c r="BP102" s="95">
        <f t="shared" si="213"/>
        <v>140.61727109205606</v>
      </c>
      <c r="BQ102" s="95">
        <f>BQ100-BQ93</f>
        <v>151.86396329758549</v>
      </c>
      <c r="BR102" s="95">
        <f t="shared" ref="BR102:BU102" si="214">BR100-BR93</f>
        <v>164.77897246773929</v>
      </c>
      <c r="BS102" s="95">
        <f t="shared" si="214"/>
        <v>179.00155358710603</v>
      </c>
      <c r="BT102" s="95">
        <f t="shared" si="214"/>
        <v>194.24469775433045</v>
      </c>
      <c r="BU102" s="95">
        <f t="shared" si="214"/>
        <v>210.28658783846575</v>
      </c>
      <c r="BV102" s="96" t="s">
        <v>1</v>
      </c>
      <c r="BX102" s="94"/>
      <c r="BY102" s="89"/>
      <c r="BZ102" s="61"/>
      <c r="CA102" s="71" t="s">
        <v>49</v>
      </c>
      <c r="CB102" s="95">
        <f t="shared" ref="CB102:CE102" si="215">CB100-CB93</f>
        <v>71.863963297585485</v>
      </c>
      <c r="CC102" s="95">
        <f t="shared" si="215"/>
        <v>91.863963297585485</v>
      </c>
      <c r="CD102" s="95">
        <f t="shared" si="215"/>
        <v>111.86396329758549</v>
      </c>
      <c r="CE102" s="95">
        <f t="shared" si="215"/>
        <v>131.86396329758549</v>
      </c>
      <c r="CF102" s="95">
        <f>CF100-CF93</f>
        <v>151.86396329758549</v>
      </c>
      <c r="CG102" s="95">
        <f t="shared" ref="CG102:CJ102" si="216">CG100-CG93</f>
        <v>171.86396329758549</v>
      </c>
      <c r="CH102" s="95">
        <f t="shared" si="216"/>
        <v>191.86396329758549</v>
      </c>
      <c r="CI102" s="95">
        <f t="shared" si="216"/>
        <v>211.86396329758549</v>
      </c>
      <c r="CJ102" s="95">
        <f t="shared" si="216"/>
        <v>231.86396329758549</v>
      </c>
      <c r="CK102" s="96" t="s">
        <v>1</v>
      </c>
      <c r="CL102" s="194"/>
      <c r="CM102" s="197">
        <v>99</v>
      </c>
      <c r="CN102" s="197">
        <f t="shared" si="127"/>
        <v>-0.59188297007205337</v>
      </c>
      <c r="CO102" s="197">
        <f t="shared" si="132"/>
        <v>53.42110943233326</v>
      </c>
      <c r="CP102" s="197">
        <f t="shared" si="133"/>
        <v>-1.1497834514674035</v>
      </c>
    </row>
    <row r="103" spans="1:94" ht="15.5" x14ac:dyDescent="0.35">
      <c r="A103" s="32" t="s">
        <v>167</v>
      </c>
      <c r="B103" s="3">
        <v>5280</v>
      </c>
      <c r="C103" s="32" t="s">
        <v>168</v>
      </c>
      <c r="AE103" s="84"/>
      <c r="AF103" s="89"/>
      <c r="AG103" s="61"/>
      <c r="AH103" s="71" t="s">
        <v>42</v>
      </c>
      <c r="AI103" s="95">
        <f t="shared" ref="AI103" si="217">-AI102/AI104</f>
        <v>10.35727961908184</v>
      </c>
      <c r="AJ103" s="95">
        <f t="shared" ref="AJ103" si="218">-AJ102/AJ104</f>
        <v>13.560810971924393</v>
      </c>
      <c r="AK103" s="95">
        <f t="shared" ref="AK103" si="219">-AK102/AK104</f>
        <v>17.644533678593692</v>
      </c>
      <c r="AL103" s="95">
        <f t="shared" ref="AL103" si="220">-AL102/AL104</f>
        <v>22.643764320496203</v>
      </c>
      <c r="AM103" s="95">
        <f>-AM102/AM104</f>
        <v>28.526084580723538</v>
      </c>
      <c r="AN103" s="95">
        <f t="shared" ref="AN103" si="221">-AN102/AN104</f>
        <v>35.20539590724519</v>
      </c>
      <c r="AO103" s="95">
        <f t="shared" ref="AO103" si="222">-AO102/AO104</f>
        <v>42.564678660663944</v>
      </c>
      <c r="AP103" s="95">
        <f t="shared" ref="AP103" si="223">-AP102/AP104</f>
        <v>50.477822879116964</v>
      </c>
      <c r="AQ103" s="95">
        <f t="shared" ref="AQ103" si="224">-AQ102/AQ104</f>
        <v>58.82525637807732</v>
      </c>
      <c r="AR103" s="96"/>
      <c r="AT103" s="84"/>
      <c r="AU103" s="89"/>
      <c r="AV103" s="61"/>
      <c r="AW103" s="71" t="s">
        <v>42</v>
      </c>
      <c r="AX103" s="95">
        <f t="shared" ref="AX103:BA103" si="225">-AX102/AX104</f>
        <v>14.709447606019278</v>
      </c>
      <c r="AY103" s="95">
        <f t="shared" si="225"/>
        <v>18.163606849695345</v>
      </c>
      <c r="AZ103" s="95">
        <f t="shared" si="225"/>
        <v>21.617766093371408</v>
      </c>
      <c r="BA103" s="95">
        <f t="shared" si="225"/>
        <v>25.071925337047475</v>
      </c>
      <c r="BB103" s="95">
        <f>-BB102/BB104</f>
        <v>28.526084580723538</v>
      </c>
      <c r="BC103" s="95">
        <f t="shared" ref="BC103:BF103" si="226">-BC102/BC104</f>
        <v>31.980243824399604</v>
      </c>
      <c r="BD103" s="95">
        <f t="shared" si="226"/>
        <v>35.434403068075667</v>
      </c>
      <c r="BE103" s="95">
        <f t="shared" si="226"/>
        <v>38.888562311751734</v>
      </c>
      <c r="BF103" s="95">
        <f t="shared" si="226"/>
        <v>42.342721555427801</v>
      </c>
      <c r="BG103" s="96"/>
      <c r="BI103" s="84"/>
      <c r="BJ103" s="89"/>
      <c r="BK103" s="61"/>
      <c r="BL103" s="71" t="s">
        <v>42</v>
      </c>
      <c r="BM103" s="95">
        <f>-BM102/BM104/MpsToKph</f>
        <v>9.6107027195975014</v>
      </c>
      <c r="BN103" s="95">
        <f>-BN102/BN104/MpsToKph</f>
        <v>12.885982230227633</v>
      </c>
      <c r="BO103" s="95">
        <f>-BO102/BO104/MpsToKph</f>
        <v>17.185689014366524</v>
      </c>
      <c r="BP103" s="95">
        <f>-BP102/BP104/MpsToKph</f>
        <v>22.5660035634574</v>
      </c>
      <c r="BQ103" s="95">
        <f>-BQ102/BQ104/MpsToKph</f>
        <v>28.986960976649932</v>
      </c>
      <c r="BR103" s="95">
        <f>-BR102/BR104/MpsToKph</f>
        <v>36.333172405686256</v>
      </c>
      <c r="BS103" s="95">
        <f>-BS102/BS104/MpsToKph</f>
        <v>44.449201505229468</v>
      </c>
      <c r="BT103" s="95">
        <f>-BT102/BT104/MpsToKph</f>
        <v>53.172242147106338</v>
      </c>
      <c r="BU103" s="95">
        <f>-BU102/BU104/MpsToKph</f>
        <v>62.353572731542144</v>
      </c>
      <c r="BV103" s="96"/>
      <c r="BX103" s="84"/>
      <c r="BY103" s="89"/>
      <c r="BZ103" s="61"/>
      <c r="CA103" s="71" t="s">
        <v>42</v>
      </c>
      <c r="CB103" s="95">
        <f>-CB102/CB104/MpsToKph</f>
        <v>13.716999441483912</v>
      </c>
      <c r="CC103" s="95">
        <f>-CC102/CC104/MpsToKph</f>
        <v>17.534489825275418</v>
      </c>
      <c r="CD103" s="95">
        <f>-CD102/CD104/MpsToKph</f>
        <v>21.351980209066923</v>
      </c>
      <c r="CE103" s="95">
        <f>-CE102/CE104/MpsToKph</f>
        <v>25.169470592858431</v>
      </c>
      <c r="CF103" s="95">
        <f>-CF102/CF104/MpsToKph</f>
        <v>28.986960976649932</v>
      </c>
      <c r="CG103" s="95">
        <f>-CG102/CG104/MpsToKph</f>
        <v>32.804451360441433</v>
      </c>
      <c r="CH103" s="95">
        <f>-CH102/CH104/MpsToKph</f>
        <v>36.621941744232942</v>
      </c>
      <c r="CI103" s="95">
        <f>-CI102/CI104/MpsToKph</f>
        <v>40.43943212802445</v>
      </c>
      <c r="CJ103" s="95">
        <f>-CJ102/CJ104/MpsToKph</f>
        <v>44.256922511815951</v>
      </c>
      <c r="CK103" s="96"/>
      <c r="CL103" s="194"/>
      <c r="CM103" s="197">
        <v>100</v>
      </c>
      <c r="CN103" s="197">
        <f t="shared" si="127"/>
        <v>-0.59545683950393857</v>
      </c>
      <c r="CO103" s="197">
        <f t="shared" si="132"/>
        <v>53.960716598316424</v>
      </c>
      <c r="CP103" s="197">
        <f t="shared" si="133"/>
        <v>-1.1567259994680439</v>
      </c>
    </row>
    <row r="104" spans="1:94" ht="16" thickBot="1" x14ac:dyDescent="0.4">
      <c r="A104" s="32" t="s">
        <v>166</v>
      </c>
      <c r="B104" s="3">
        <f>1/B103</f>
        <v>1.8939393939393939E-4</v>
      </c>
      <c r="C104" s="32" t="s">
        <v>169</v>
      </c>
      <c r="AE104" s="97"/>
      <c r="AF104" s="64"/>
      <c r="AG104" s="65"/>
      <c r="AH104" s="98" t="s">
        <v>43</v>
      </c>
      <c r="AI104" s="191">
        <f t="shared" ref="AI104:AQ104" si="227">KphToKts*(aRprime*(AI100*KtsToKph)^2+bRprime*AI100*KtsToKph+cRprime)</f>
        <v>-6.4324166909649021</v>
      </c>
      <c r="AJ104" s="191">
        <f t="shared" si="227"/>
        <v>-5.073722534451516</v>
      </c>
      <c r="AK104" s="191">
        <f t="shared" si="227"/>
        <v>-4.0984084182507701</v>
      </c>
      <c r="AL104" s="191">
        <f t="shared" si="227"/>
        <v>-3.399293923254139</v>
      </c>
      <c r="AM104" s="191">
        <f t="shared" si="227"/>
        <v>-2.8950605037414459</v>
      </c>
      <c r="AN104" s="191">
        <f t="shared" si="227"/>
        <v>-2.5271701197165521</v>
      </c>
      <c r="AO104" s="191">
        <f t="shared" si="227"/>
        <v>-2.2547904184403822</v>
      </c>
      <c r="AP104" s="191">
        <f t="shared" si="227"/>
        <v>-2.0498566449142808</v>
      </c>
      <c r="AQ104" s="191">
        <f t="shared" si="227"/>
        <v>-1.893132601408505</v>
      </c>
      <c r="AR104" s="99" t="s">
        <v>8</v>
      </c>
      <c r="AT104" s="97"/>
      <c r="AU104" s="64"/>
      <c r="AV104" s="65"/>
      <c r="AW104" s="98" t="s">
        <v>43</v>
      </c>
      <c r="AX104" s="191">
        <f t="shared" ref="AX104:BF104" si="228">KphToKts*(aRprime*(AX100*KtsToKph)^2+bRprime*AX100*KtsToKph+cRprime)</f>
        <v>-2.8950605037414459</v>
      </c>
      <c r="AY104" s="191">
        <f t="shared" si="228"/>
        <v>-2.8950605037414459</v>
      </c>
      <c r="AZ104" s="191">
        <f t="shared" si="228"/>
        <v>-2.8950605037414459</v>
      </c>
      <c r="BA104" s="191">
        <f t="shared" si="228"/>
        <v>-2.8950605037414459</v>
      </c>
      <c r="BB104" s="191">
        <f t="shared" si="228"/>
        <v>-2.8950605037414459</v>
      </c>
      <c r="BC104" s="191">
        <f t="shared" si="228"/>
        <v>-2.8950605037414459</v>
      </c>
      <c r="BD104" s="191">
        <f t="shared" si="228"/>
        <v>-2.8950605037414459</v>
      </c>
      <c r="BE104" s="191">
        <f t="shared" si="228"/>
        <v>-2.8950605037414459</v>
      </c>
      <c r="BF104" s="191">
        <f t="shared" si="228"/>
        <v>-2.8950605037414459</v>
      </c>
      <c r="BG104" s="99" t="s">
        <v>8</v>
      </c>
      <c r="BI104" s="97"/>
      <c r="BJ104" s="64"/>
      <c r="BK104" s="65"/>
      <c r="BL104" s="98" t="s">
        <v>43</v>
      </c>
      <c r="BM104" s="191">
        <f>KphToMps*(aRprime*BM100^2+bRprime*BM100+cRprime)</f>
        <v>-3.5048792759839689</v>
      </c>
      <c r="BN104" s="191">
        <f>KphToMps*(aRprime*BN100^2+bRprime*BN100+cRprime)</f>
        <v>-2.6919268173628459</v>
      </c>
      <c r="BO104" s="191">
        <f>KphToMps*(aRprime*BO100^2+bRprime*BO100+cRprime)</f>
        <v>-2.1249552871018134</v>
      </c>
      <c r="BP104" s="191">
        <f>KphToMps*(aRprime*BP100^2+bRprime*BP100+cRprime)</f>
        <v>-1.7309380002216987</v>
      </c>
      <c r="BQ104" s="191">
        <f>KphToMps*(aRprime*BQ100^2+bRprime*BQ100+cRprime)</f>
        <v>-1.4552899934322339</v>
      </c>
      <c r="BR104" s="191">
        <f>KphToMps*(aRprime*BR100^2+bRprime*BR100+cRprime)</f>
        <v>-1.2597836568058889</v>
      </c>
      <c r="BS104" s="191">
        <f>KphToMps*(aRprime*BS100^2+bRprime*BS100+cRprime)</f>
        <v>-1.1186399775560925</v>
      </c>
      <c r="BT104" s="191">
        <f>KphToMps*(aRprime*BT100^2+bRprime*BT100+cRprime)</f>
        <v>-1.0147561642790415</v>
      </c>
      <c r="BU104" s="191">
        <f>KphToMps*(aRprime*BU100^2+bRprime*BU100+cRprime)</f>
        <v>-0.93680183038961207</v>
      </c>
      <c r="BV104" s="99" t="s">
        <v>0</v>
      </c>
      <c r="BX104" s="97"/>
      <c r="BY104" s="64"/>
      <c r="BZ104" s="65"/>
      <c r="CA104" s="98" t="s">
        <v>43</v>
      </c>
      <c r="CB104" s="191">
        <f>KphToMps*(aRprime*CB100^2+bRprime*CB100+cRprime)</f>
        <v>-1.4552899934322339</v>
      </c>
      <c r="CC104" s="191">
        <f>KphToMps*(aRprime*CC100^2+bRprime*CC100+cRprime)</f>
        <v>-1.4552899934322339</v>
      </c>
      <c r="CD104" s="191">
        <f>KphToMps*(aRprime*CD100^2+bRprime*CD100+cRprime)</f>
        <v>-1.4552899934322339</v>
      </c>
      <c r="CE104" s="191">
        <f>KphToMps*(aRprime*CE100^2+bRprime*CE100+cRprime)</f>
        <v>-1.4552899934322339</v>
      </c>
      <c r="CF104" s="191">
        <f>KphToMps*(aRprime*CF100^2+bRprime*CF100+cRprime)</f>
        <v>-1.4552899934322339</v>
      </c>
      <c r="CG104" s="191">
        <f>KphToMps*(aRprime*CG100^2+bRprime*CG100+cRprime)</f>
        <v>-1.4552899934322339</v>
      </c>
      <c r="CH104" s="191">
        <f>KphToMps*(aRprime*CH100^2+bRprime*CH100+cRprime)</f>
        <v>-1.4552899934322339</v>
      </c>
      <c r="CI104" s="191">
        <f>KphToMps*(aRprime*CI100^2+bRprime*CI100+cRprime)</f>
        <v>-1.4552899934322339</v>
      </c>
      <c r="CJ104" s="191">
        <f>KphToMps*(aRprime*CJ100^2+bRprime*CJ100+cRprime)</f>
        <v>-1.4552899934322339</v>
      </c>
      <c r="CK104" s="99" t="s">
        <v>0</v>
      </c>
      <c r="CL104" s="194"/>
      <c r="CM104" s="197">
        <v>101</v>
      </c>
      <c r="CN104" s="197">
        <f t="shared" si="127"/>
        <v>-0.59952271724912554</v>
      </c>
      <c r="CO104" s="197">
        <f t="shared" si="132"/>
        <v>54.500323764299594</v>
      </c>
      <c r="CP104" s="197">
        <f t="shared" si="133"/>
        <v>-1.1646243158303757</v>
      </c>
    </row>
    <row r="105" spans="1:94" ht="16" thickTop="1" x14ac:dyDescent="0.35">
      <c r="A105" s="32" t="s">
        <v>152</v>
      </c>
      <c r="B105" s="3">
        <v>3.7850000000000001</v>
      </c>
      <c r="C105" s="32" t="s">
        <v>153</v>
      </c>
      <c r="AE105" s="66" t="s">
        <v>16</v>
      </c>
      <c r="AF105" s="67"/>
      <c r="AG105" s="68"/>
      <c r="AH105" s="69"/>
      <c r="AI105" s="45" t="s">
        <v>34</v>
      </c>
      <c r="AJ105" s="51"/>
      <c r="AK105" s="51"/>
      <c r="AL105" s="51"/>
      <c r="AM105" s="70" t="s">
        <v>35</v>
      </c>
      <c r="AN105" s="51"/>
      <c r="AO105" s="51"/>
      <c r="AP105" s="51"/>
      <c r="AQ105" s="71" t="s">
        <v>36</v>
      </c>
      <c r="AR105" s="72" t="s">
        <v>37</v>
      </c>
      <c r="AT105" s="66" t="s">
        <v>16</v>
      </c>
      <c r="AU105" s="67"/>
      <c r="AV105" s="68"/>
      <c r="AW105" s="69"/>
      <c r="AX105" s="45" t="s">
        <v>34</v>
      </c>
      <c r="AY105" s="51"/>
      <c r="AZ105" s="51"/>
      <c r="BA105" s="51"/>
      <c r="BB105" s="70" t="s">
        <v>35</v>
      </c>
      <c r="BC105" s="51"/>
      <c r="BD105" s="51"/>
      <c r="BE105" s="51"/>
      <c r="BF105" s="71" t="s">
        <v>36</v>
      </c>
      <c r="BG105" s="72" t="s">
        <v>37</v>
      </c>
      <c r="BI105" s="66" t="s">
        <v>16</v>
      </c>
      <c r="BJ105" s="67"/>
      <c r="BK105" s="68"/>
      <c r="BL105" s="69"/>
      <c r="BM105" s="45" t="s">
        <v>34</v>
      </c>
      <c r="BN105" s="51"/>
      <c r="BO105" s="51"/>
      <c r="BP105" s="51"/>
      <c r="BQ105" s="70" t="s">
        <v>35</v>
      </c>
      <c r="BR105" s="51"/>
      <c r="BS105" s="51"/>
      <c r="BT105" s="51"/>
      <c r="BU105" s="71" t="s">
        <v>36</v>
      </c>
      <c r="BV105" s="72" t="s">
        <v>37</v>
      </c>
      <c r="BX105" s="66" t="s">
        <v>16</v>
      </c>
      <c r="BY105" s="67"/>
      <c r="BZ105" s="68"/>
      <c r="CA105" s="69"/>
      <c r="CB105" s="45" t="s">
        <v>34</v>
      </c>
      <c r="CC105" s="51"/>
      <c r="CD105" s="51"/>
      <c r="CE105" s="51"/>
      <c r="CF105" s="70" t="s">
        <v>35</v>
      </c>
      <c r="CG105" s="51"/>
      <c r="CH105" s="51"/>
      <c r="CI105" s="51"/>
      <c r="CJ105" s="71" t="s">
        <v>36</v>
      </c>
      <c r="CK105" s="72" t="s">
        <v>37</v>
      </c>
      <c r="CL105" s="193"/>
      <c r="CM105" s="197">
        <v>102</v>
      </c>
      <c r="CN105" s="197">
        <f t="shared" si="127"/>
        <v>-0.60408060330761371</v>
      </c>
      <c r="CO105" s="197">
        <f t="shared" si="132"/>
        <v>55.039930930282758</v>
      </c>
      <c r="CP105" s="197">
        <f t="shared" si="133"/>
        <v>-1.1734784005543974</v>
      </c>
    </row>
    <row r="106" spans="1:94" ht="15.5" x14ac:dyDescent="0.35">
      <c r="A106" s="32" t="s">
        <v>154</v>
      </c>
      <c r="B106" s="3">
        <f>1/B105</f>
        <v>0.26420079260237778</v>
      </c>
      <c r="C106" s="32" t="s">
        <v>155</v>
      </c>
      <c r="AE106" s="73" t="s">
        <v>8</v>
      </c>
      <c r="AF106" s="74"/>
      <c r="AG106" s="75"/>
      <c r="AH106" s="76"/>
      <c r="AI106" s="77">
        <v>40</v>
      </c>
      <c r="AJ106" s="78">
        <v>30</v>
      </c>
      <c r="AK106" s="78">
        <v>20</v>
      </c>
      <c r="AL106" s="78">
        <v>10</v>
      </c>
      <c r="AM106" s="78">
        <v>0</v>
      </c>
      <c r="AN106" s="78">
        <v>-10</v>
      </c>
      <c r="AO106" s="78">
        <v>-20</v>
      </c>
      <c r="AP106" s="78">
        <v>-30</v>
      </c>
      <c r="AQ106" s="79">
        <v>-40</v>
      </c>
      <c r="AR106" s="80" t="s">
        <v>8</v>
      </c>
      <c r="AT106" s="73" t="s">
        <v>8</v>
      </c>
      <c r="AU106" s="74"/>
      <c r="AV106" s="75"/>
      <c r="AW106" s="76"/>
      <c r="AX106" s="77">
        <v>40</v>
      </c>
      <c r="AY106" s="78">
        <v>30</v>
      </c>
      <c r="AZ106" s="78">
        <v>20</v>
      </c>
      <c r="BA106" s="78">
        <v>10</v>
      </c>
      <c r="BB106" s="78">
        <v>0</v>
      </c>
      <c r="BC106" s="78">
        <v>-10</v>
      </c>
      <c r="BD106" s="78">
        <v>-20</v>
      </c>
      <c r="BE106" s="78">
        <v>-30</v>
      </c>
      <c r="BF106" s="79">
        <v>-40</v>
      </c>
      <c r="BG106" s="80" t="s">
        <v>8</v>
      </c>
      <c r="BI106" s="73" t="s">
        <v>0</v>
      </c>
      <c r="BJ106" s="74"/>
      <c r="BK106" s="75"/>
      <c r="BL106" s="76"/>
      <c r="BM106" s="77">
        <v>80</v>
      </c>
      <c r="BN106" s="78">
        <v>60</v>
      </c>
      <c r="BO106" s="78">
        <v>40</v>
      </c>
      <c r="BP106" s="78">
        <v>20</v>
      </c>
      <c r="BQ106" s="78">
        <v>0</v>
      </c>
      <c r="BR106" s="78">
        <v>-20</v>
      </c>
      <c r="BS106" s="78">
        <v>-40</v>
      </c>
      <c r="BT106" s="78">
        <v>-60</v>
      </c>
      <c r="BU106" s="79">
        <v>-80</v>
      </c>
      <c r="BV106" s="80" t="s">
        <v>1</v>
      </c>
      <c r="BX106" s="73" t="s">
        <v>0</v>
      </c>
      <c r="BY106" s="74"/>
      <c r="BZ106" s="75"/>
      <c r="CA106" s="76"/>
      <c r="CB106" s="77">
        <v>80</v>
      </c>
      <c r="CC106" s="78">
        <v>60</v>
      </c>
      <c r="CD106" s="78">
        <v>40</v>
      </c>
      <c r="CE106" s="78">
        <v>20</v>
      </c>
      <c r="CF106" s="78">
        <v>0</v>
      </c>
      <c r="CG106" s="78">
        <v>-20</v>
      </c>
      <c r="CH106" s="78">
        <v>-40</v>
      </c>
      <c r="CI106" s="78">
        <v>-60</v>
      </c>
      <c r="CJ106" s="79">
        <v>-80</v>
      </c>
      <c r="CK106" s="80" t="s">
        <v>1</v>
      </c>
      <c r="CL106" s="193"/>
      <c r="CM106" s="197">
        <v>103</v>
      </c>
      <c r="CN106" s="197">
        <f t="shared" si="127"/>
        <v>-0.60913049767940453</v>
      </c>
      <c r="CO106" s="197">
        <f t="shared" si="132"/>
        <v>55.579538096265921</v>
      </c>
      <c r="CP106" s="197">
        <f t="shared" si="133"/>
        <v>-1.1832882536401126</v>
      </c>
    </row>
    <row r="107" spans="1:94" ht="15.5" x14ac:dyDescent="0.35">
      <c r="A107" s="32" t="s">
        <v>157</v>
      </c>
      <c r="B107" s="3">
        <v>8.3452999999999999</v>
      </c>
      <c r="C107" s="32" t="s">
        <v>156</v>
      </c>
      <c r="AE107" s="66">
        <v>7</v>
      </c>
      <c r="AF107" s="81" t="s">
        <v>38</v>
      </c>
      <c r="AG107" s="60">
        <v>5</v>
      </c>
      <c r="AH107" s="71" t="s">
        <v>39</v>
      </c>
      <c r="AI107" s="82">
        <f t="shared" ref="AI107:AQ112" si="229">ROUND($AG107*SmiToFt/AI$116+$AI$11+$AI$12,-2)</f>
        <v>4600</v>
      </c>
      <c r="AJ107" s="82">
        <f t="shared" si="229"/>
        <v>4000</v>
      </c>
      <c r="AK107" s="82">
        <f t="shared" si="229"/>
        <v>3500</v>
      </c>
      <c r="AL107" s="82">
        <f t="shared" si="229"/>
        <v>3200</v>
      </c>
      <c r="AM107" s="83">
        <f t="shared" si="229"/>
        <v>2900</v>
      </c>
      <c r="AN107" s="82">
        <f t="shared" si="229"/>
        <v>2700</v>
      </c>
      <c r="AO107" s="82">
        <f t="shared" si="229"/>
        <v>2600</v>
      </c>
      <c r="AP107" s="82">
        <f t="shared" si="229"/>
        <v>2500</v>
      </c>
      <c r="AQ107" s="82">
        <f t="shared" si="229"/>
        <v>2400</v>
      </c>
      <c r="AR107" s="72" t="s">
        <v>33</v>
      </c>
      <c r="AT107" s="66">
        <v>7</v>
      </c>
      <c r="AU107" s="81" t="s">
        <v>38</v>
      </c>
      <c r="AV107" s="60">
        <v>5</v>
      </c>
      <c r="AW107" s="71" t="s">
        <v>39</v>
      </c>
      <c r="AX107" s="82">
        <f t="shared" ref="AX107:BF112" si="230">ROUND($AV107*SmiToFt/AX$116+$AX$11+$AX$12,-2)</f>
        <v>3800</v>
      </c>
      <c r="AY107" s="82">
        <f t="shared" si="230"/>
        <v>3500</v>
      </c>
      <c r="AZ107" s="82">
        <f t="shared" si="230"/>
        <v>3200</v>
      </c>
      <c r="BA107" s="82">
        <f t="shared" si="230"/>
        <v>3100</v>
      </c>
      <c r="BB107" s="83">
        <f t="shared" si="230"/>
        <v>2900</v>
      </c>
      <c r="BC107" s="82">
        <f t="shared" si="230"/>
        <v>2800</v>
      </c>
      <c r="BD107" s="82">
        <f t="shared" si="230"/>
        <v>2700</v>
      </c>
      <c r="BE107" s="82">
        <f t="shared" si="230"/>
        <v>2700</v>
      </c>
      <c r="BF107" s="82">
        <f t="shared" si="230"/>
        <v>2600</v>
      </c>
      <c r="BG107" s="72" t="s">
        <v>33</v>
      </c>
      <c r="BI107" s="66">
        <v>3.5</v>
      </c>
      <c r="BJ107" s="81" t="s">
        <v>38</v>
      </c>
      <c r="BK107" s="60">
        <v>10</v>
      </c>
      <c r="BL107" s="71" t="s">
        <v>170</v>
      </c>
      <c r="BM107" s="82">
        <f t="shared" ref="BM107:BU112" si="231">ROUND($BK107*1000/BM$116+$BM$11+$BM$12,-1)</f>
        <v>1680</v>
      </c>
      <c r="BN107" s="82">
        <f t="shared" si="231"/>
        <v>1410</v>
      </c>
      <c r="BO107" s="82">
        <f t="shared" si="231"/>
        <v>1210</v>
      </c>
      <c r="BP107" s="82">
        <f t="shared" si="231"/>
        <v>1060</v>
      </c>
      <c r="BQ107" s="83">
        <f t="shared" si="231"/>
        <v>960</v>
      </c>
      <c r="BR107" s="82">
        <f t="shared" si="231"/>
        <v>880</v>
      </c>
      <c r="BS107" s="82">
        <f t="shared" si="231"/>
        <v>820</v>
      </c>
      <c r="BT107" s="82">
        <f t="shared" si="231"/>
        <v>780</v>
      </c>
      <c r="BU107" s="82">
        <f t="shared" si="231"/>
        <v>750</v>
      </c>
      <c r="BV107" s="72" t="s">
        <v>164</v>
      </c>
      <c r="BX107" s="66">
        <v>3.5</v>
      </c>
      <c r="BY107" s="81" t="s">
        <v>38</v>
      </c>
      <c r="BZ107" s="60">
        <v>10</v>
      </c>
      <c r="CA107" s="71" t="s">
        <v>170</v>
      </c>
      <c r="CB107" s="82">
        <f t="shared" ref="CB107:CJ112" si="232">ROUND($BZ107*1000/CB$116+$CB$11+$CB$12,-1)</f>
        <v>1340</v>
      </c>
      <c r="CC107" s="82">
        <f t="shared" si="232"/>
        <v>1190</v>
      </c>
      <c r="CD107" s="82">
        <f t="shared" si="232"/>
        <v>1080</v>
      </c>
      <c r="CE107" s="82">
        <f t="shared" si="232"/>
        <v>1010</v>
      </c>
      <c r="CF107" s="83">
        <f>ROUND($BZ107*1000/CF$116+$CB$11+$CB$12,-1)</f>
        <v>960</v>
      </c>
      <c r="CG107" s="82">
        <f t="shared" si="232"/>
        <v>910</v>
      </c>
      <c r="CH107" s="82">
        <f t="shared" si="232"/>
        <v>880</v>
      </c>
      <c r="CI107" s="82">
        <f t="shared" si="232"/>
        <v>850</v>
      </c>
      <c r="CJ107" s="82">
        <f t="shared" si="232"/>
        <v>830</v>
      </c>
      <c r="CK107" s="72" t="s">
        <v>164</v>
      </c>
      <c r="CL107" s="193"/>
      <c r="CM107" s="197">
        <v>104</v>
      </c>
      <c r="CN107" s="197">
        <f t="shared" si="127"/>
        <v>-0.61467240036449711</v>
      </c>
      <c r="CO107" s="197">
        <f t="shared" si="132"/>
        <v>56.119145262249084</v>
      </c>
      <c r="CP107" s="197">
        <f t="shared" si="133"/>
        <v>-1.1940538750875187</v>
      </c>
    </row>
    <row r="108" spans="1:94" ht="15.5" x14ac:dyDescent="0.35">
      <c r="A108" s="32" t="s">
        <v>158</v>
      </c>
      <c r="B108" s="3">
        <f>1/GallonToLb</f>
        <v>0.11982792709668916</v>
      </c>
      <c r="C108" s="32" t="s">
        <v>159</v>
      </c>
      <c r="AE108" s="84"/>
      <c r="AF108" s="53"/>
      <c r="AG108" s="85">
        <v>10</v>
      </c>
      <c r="AH108" s="86" t="s">
        <v>39</v>
      </c>
      <c r="AI108" s="82">
        <f t="shared" si="229"/>
        <v>7300</v>
      </c>
      <c r="AJ108" s="82">
        <f t="shared" si="229"/>
        <v>6100</v>
      </c>
      <c r="AK108" s="82">
        <f t="shared" si="229"/>
        <v>5200</v>
      </c>
      <c r="AL108" s="82">
        <f t="shared" si="229"/>
        <v>4500</v>
      </c>
      <c r="AM108" s="83">
        <f t="shared" si="229"/>
        <v>3900</v>
      </c>
      <c r="AN108" s="82">
        <f t="shared" si="229"/>
        <v>3600</v>
      </c>
      <c r="AO108" s="82">
        <f t="shared" si="229"/>
        <v>3300</v>
      </c>
      <c r="AP108" s="82">
        <f t="shared" si="229"/>
        <v>3100</v>
      </c>
      <c r="AQ108" s="82">
        <f t="shared" si="229"/>
        <v>2900</v>
      </c>
      <c r="AR108" s="87" t="s">
        <v>33</v>
      </c>
      <c r="AT108" s="84"/>
      <c r="AU108" s="53"/>
      <c r="AV108" s="85">
        <v>10</v>
      </c>
      <c r="AW108" s="86" t="s">
        <v>39</v>
      </c>
      <c r="AX108" s="82">
        <f t="shared" si="230"/>
        <v>5700</v>
      </c>
      <c r="AY108" s="82">
        <f t="shared" si="230"/>
        <v>5000</v>
      </c>
      <c r="AZ108" s="82">
        <f t="shared" si="230"/>
        <v>4600</v>
      </c>
      <c r="BA108" s="82">
        <f t="shared" si="230"/>
        <v>4200</v>
      </c>
      <c r="BB108" s="83">
        <f t="shared" si="230"/>
        <v>3900</v>
      </c>
      <c r="BC108" s="82">
        <f t="shared" si="230"/>
        <v>3700</v>
      </c>
      <c r="BD108" s="82">
        <f t="shared" si="230"/>
        <v>3600</v>
      </c>
      <c r="BE108" s="82">
        <f t="shared" si="230"/>
        <v>3400</v>
      </c>
      <c r="BF108" s="82">
        <f t="shared" si="230"/>
        <v>3300</v>
      </c>
      <c r="BG108" s="87" t="s">
        <v>33</v>
      </c>
      <c r="BI108" s="84"/>
      <c r="BJ108" s="53"/>
      <c r="BK108" s="85">
        <v>20</v>
      </c>
      <c r="BL108" s="86" t="s">
        <v>170</v>
      </c>
      <c r="BM108" s="82">
        <f t="shared" si="231"/>
        <v>2780</v>
      </c>
      <c r="BN108" s="82">
        <f t="shared" si="231"/>
        <v>2240</v>
      </c>
      <c r="BO108" s="82">
        <f t="shared" si="231"/>
        <v>1840</v>
      </c>
      <c r="BP108" s="82">
        <f t="shared" si="231"/>
        <v>1550</v>
      </c>
      <c r="BQ108" s="83">
        <f t="shared" si="231"/>
        <v>1330</v>
      </c>
      <c r="BR108" s="82">
        <f t="shared" si="231"/>
        <v>1180</v>
      </c>
      <c r="BS108" s="82">
        <f t="shared" si="231"/>
        <v>1070</v>
      </c>
      <c r="BT108" s="82">
        <f t="shared" si="231"/>
        <v>990</v>
      </c>
      <c r="BU108" s="82">
        <f t="shared" si="231"/>
        <v>930</v>
      </c>
      <c r="BV108" s="87" t="s">
        <v>164</v>
      </c>
      <c r="BX108" s="84"/>
      <c r="BY108" s="53"/>
      <c r="BZ108" s="85">
        <v>20</v>
      </c>
      <c r="CA108" s="86" t="s">
        <v>170</v>
      </c>
      <c r="CB108" s="82">
        <f t="shared" si="232"/>
        <v>2100</v>
      </c>
      <c r="CC108" s="82">
        <f t="shared" si="232"/>
        <v>1790</v>
      </c>
      <c r="CD108" s="82">
        <f t="shared" si="232"/>
        <v>1590</v>
      </c>
      <c r="CE108" s="82">
        <f t="shared" si="232"/>
        <v>1440</v>
      </c>
      <c r="CF108" s="83">
        <f t="shared" ref="CF108:CF112" si="233">ROUND($BZ108*1000/CF$116+$CB$11+$CB$12,-1)</f>
        <v>1330</v>
      </c>
      <c r="CG108" s="82">
        <f t="shared" si="232"/>
        <v>1250</v>
      </c>
      <c r="CH108" s="82">
        <f t="shared" si="232"/>
        <v>1180</v>
      </c>
      <c r="CI108" s="82">
        <f t="shared" si="232"/>
        <v>1130</v>
      </c>
      <c r="CJ108" s="82">
        <f t="shared" si="232"/>
        <v>1080</v>
      </c>
      <c r="CK108" s="87" t="s">
        <v>164</v>
      </c>
      <c r="CL108" s="193"/>
      <c r="CM108" s="197">
        <v>105</v>
      </c>
      <c r="CN108" s="197">
        <f t="shared" si="127"/>
        <v>-0.62070631136289156</v>
      </c>
      <c r="CO108" s="197">
        <f t="shared" si="132"/>
        <v>56.658752428232248</v>
      </c>
      <c r="CP108" s="197">
        <f t="shared" si="133"/>
        <v>-1.2057752648966165</v>
      </c>
    </row>
    <row r="109" spans="1:94" ht="15.5" x14ac:dyDescent="0.35">
      <c r="A109" s="32" t="s">
        <v>138</v>
      </c>
      <c r="B109" s="3">
        <v>2.2050000000000001</v>
      </c>
      <c r="C109" s="24" t="s">
        <v>139</v>
      </c>
      <c r="AE109" s="84"/>
      <c r="AF109" s="53"/>
      <c r="AG109" s="85">
        <v>20</v>
      </c>
      <c r="AH109" s="86" t="s">
        <v>39</v>
      </c>
      <c r="AI109" s="82">
        <f t="shared" si="229"/>
        <v>12800</v>
      </c>
      <c r="AJ109" s="82">
        <f t="shared" si="229"/>
        <v>10300</v>
      </c>
      <c r="AK109" s="82">
        <f t="shared" si="229"/>
        <v>8400</v>
      </c>
      <c r="AL109" s="82">
        <f t="shared" si="229"/>
        <v>7000</v>
      </c>
      <c r="AM109" s="83">
        <f t="shared" si="229"/>
        <v>6000</v>
      </c>
      <c r="AN109" s="82">
        <f t="shared" si="229"/>
        <v>5200</v>
      </c>
      <c r="AO109" s="82">
        <f t="shared" si="229"/>
        <v>4600</v>
      </c>
      <c r="AP109" s="82">
        <f t="shared" si="229"/>
        <v>4200</v>
      </c>
      <c r="AQ109" s="82">
        <f t="shared" si="229"/>
        <v>3900</v>
      </c>
      <c r="AR109" s="87" t="s">
        <v>33</v>
      </c>
      <c r="AT109" s="84"/>
      <c r="AU109" s="53"/>
      <c r="AV109" s="85">
        <v>20</v>
      </c>
      <c r="AW109" s="86" t="s">
        <v>39</v>
      </c>
      <c r="AX109" s="82">
        <f t="shared" si="230"/>
        <v>9500</v>
      </c>
      <c r="AY109" s="82">
        <f t="shared" si="230"/>
        <v>8100</v>
      </c>
      <c r="AZ109" s="82">
        <f t="shared" si="230"/>
        <v>7200</v>
      </c>
      <c r="BA109" s="82">
        <f t="shared" si="230"/>
        <v>6500</v>
      </c>
      <c r="BB109" s="83">
        <f t="shared" si="230"/>
        <v>6000</v>
      </c>
      <c r="BC109" s="82">
        <f t="shared" si="230"/>
        <v>5500</v>
      </c>
      <c r="BD109" s="82">
        <f t="shared" si="230"/>
        <v>5200</v>
      </c>
      <c r="BE109" s="82">
        <f t="shared" si="230"/>
        <v>4900</v>
      </c>
      <c r="BF109" s="82">
        <f t="shared" si="230"/>
        <v>4700</v>
      </c>
      <c r="BG109" s="87" t="s">
        <v>33</v>
      </c>
      <c r="BI109" s="84"/>
      <c r="BJ109" s="53"/>
      <c r="BK109" s="85">
        <v>30</v>
      </c>
      <c r="BL109" s="86" t="s">
        <v>170</v>
      </c>
      <c r="BM109" s="82">
        <f t="shared" si="231"/>
        <v>3880</v>
      </c>
      <c r="BN109" s="82">
        <f t="shared" si="231"/>
        <v>3070</v>
      </c>
      <c r="BO109" s="82">
        <f t="shared" si="231"/>
        <v>2470</v>
      </c>
      <c r="BP109" s="82">
        <f t="shared" si="231"/>
        <v>2030</v>
      </c>
      <c r="BQ109" s="83">
        <f t="shared" si="231"/>
        <v>1710</v>
      </c>
      <c r="BR109" s="82">
        <f t="shared" si="231"/>
        <v>1480</v>
      </c>
      <c r="BS109" s="82">
        <f t="shared" si="231"/>
        <v>1310</v>
      </c>
      <c r="BT109" s="82">
        <f t="shared" si="231"/>
        <v>1190</v>
      </c>
      <c r="BU109" s="82">
        <f t="shared" si="231"/>
        <v>1100</v>
      </c>
      <c r="BV109" s="87" t="s">
        <v>164</v>
      </c>
      <c r="BX109" s="84"/>
      <c r="BY109" s="53"/>
      <c r="BZ109" s="85">
        <v>30</v>
      </c>
      <c r="CA109" s="86" t="s">
        <v>170</v>
      </c>
      <c r="CB109" s="82">
        <f t="shared" si="232"/>
        <v>2860</v>
      </c>
      <c r="CC109" s="82">
        <f t="shared" si="232"/>
        <v>2400</v>
      </c>
      <c r="CD109" s="82">
        <f t="shared" si="232"/>
        <v>2090</v>
      </c>
      <c r="CE109" s="82">
        <f t="shared" si="232"/>
        <v>1870</v>
      </c>
      <c r="CF109" s="83">
        <f t="shared" si="233"/>
        <v>1710</v>
      </c>
      <c r="CG109" s="82">
        <f t="shared" si="232"/>
        <v>1580</v>
      </c>
      <c r="CH109" s="82">
        <f t="shared" si="232"/>
        <v>1480</v>
      </c>
      <c r="CI109" s="82">
        <f t="shared" si="232"/>
        <v>1400</v>
      </c>
      <c r="CJ109" s="82">
        <f t="shared" si="232"/>
        <v>1330</v>
      </c>
      <c r="CK109" s="87" t="s">
        <v>164</v>
      </c>
      <c r="CL109" s="193"/>
      <c r="CM109" s="197">
        <v>106</v>
      </c>
      <c r="CN109" s="197">
        <f t="shared" si="127"/>
        <v>-0.62723223067458755</v>
      </c>
      <c r="CO109" s="197">
        <f t="shared" si="132"/>
        <v>57.198359594215411</v>
      </c>
      <c r="CP109" s="197">
        <f t="shared" si="133"/>
        <v>-1.2184524230674054</v>
      </c>
    </row>
    <row r="110" spans="1:94" ht="15.5" x14ac:dyDescent="0.35">
      <c r="A110" s="32" t="s">
        <v>136</v>
      </c>
      <c r="B110" s="3">
        <f>1/B109</f>
        <v>0.45351473922902491</v>
      </c>
      <c r="C110" s="24" t="s">
        <v>137</v>
      </c>
      <c r="AE110" s="84"/>
      <c r="AF110" s="53"/>
      <c r="AG110" s="85">
        <v>30</v>
      </c>
      <c r="AH110" s="86" t="s">
        <v>39</v>
      </c>
      <c r="AI110" s="82">
        <f t="shared" si="229"/>
        <v>18200</v>
      </c>
      <c r="AJ110" s="82">
        <f t="shared" si="229"/>
        <v>14500</v>
      </c>
      <c r="AK110" s="82">
        <f t="shared" si="229"/>
        <v>11700</v>
      </c>
      <c r="AL110" s="82">
        <f t="shared" si="229"/>
        <v>9600</v>
      </c>
      <c r="AM110" s="83">
        <f t="shared" si="229"/>
        <v>8000</v>
      </c>
      <c r="AN110" s="82">
        <f t="shared" si="229"/>
        <v>6800</v>
      </c>
      <c r="AO110" s="82">
        <f t="shared" si="229"/>
        <v>6000</v>
      </c>
      <c r="AP110" s="82">
        <f t="shared" si="229"/>
        <v>5300</v>
      </c>
      <c r="AQ110" s="82">
        <f t="shared" si="229"/>
        <v>4800</v>
      </c>
      <c r="AR110" s="87" t="s">
        <v>33</v>
      </c>
      <c r="AT110" s="84"/>
      <c r="AU110" s="53"/>
      <c r="AV110" s="85">
        <v>30</v>
      </c>
      <c r="AW110" s="86" t="s">
        <v>39</v>
      </c>
      <c r="AX110" s="82">
        <f t="shared" si="230"/>
        <v>13300</v>
      </c>
      <c r="AY110" s="82">
        <f t="shared" si="230"/>
        <v>11200</v>
      </c>
      <c r="AZ110" s="82">
        <f t="shared" si="230"/>
        <v>9800</v>
      </c>
      <c r="BA110" s="82">
        <f t="shared" si="230"/>
        <v>8800</v>
      </c>
      <c r="BB110" s="83">
        <f t="shared" si="230"/>
        <v>8000</v>
      </c>
      <c r="BC110" s="82">
        <f t="shared" si="230"/>
        <v>7400</v>
      </c>
      <c r="BD110" s="82">
        <f t="shared" si="230"/>
        <v>6900</v>
      </c>
      <c r="BE110" s="82">
        <f t="shared" si="230"/>
        <v>6400</v>
      </c>
      <c r="BF110" s="82">
        <f t="shared" si="230"/>
        <v>6100</v>
      </c>
      <c r="BG110" s="87" t="s">
        <v>33</v>
      </c>
      <c r="BI110" s="84"/>
      <c r="BJ110" s="53"/>
      <c r="BK110" s="85">
        <v>40</v>
      </c>
      <c r="BL110" s="86" t="s">
        <v>170</v>
      </c>
      <c r="BM110" s="82">
        <f t="shared" si="231"/>
        <v>4980</v>
      </c>
      <c r="BN110" s="82">
        <f t="shared" si="231"/>
        <v>3910</v>
      </c>
      <c r="BO110" s="82">
        <f t="shared" si="231"/>
        <v>3100</v>
      </c>
      <c r="BP110" s="82">
        <f t="shared" si="231"/>
        <v>2510</v>
      </c>
      <c r="BQ110" s="83">
        <f t="shared" si="231"/>
        <v>2090</v>
      </c>
      <c r="BR110" s="82">
        <f t="shared" si="231"/>
        <v>1780</v>
      </c>
      <c r="BS110" s="82">
        <f t="shared" si="231"/>
        <v>1560</v>
      </c>
      <c r="BT110" s="82">
        <f t="shared" si="231"/>
        <v>1390</v>
      </c>
      <c r="BU110" s="82">
        <f t="shared" si="231"/>
        <v>1270</v>
      </c>
      <c r="BV110" s="87" t="s">
        <v>164</v>
      </c>
      <c r="BX110" s="84"/>
      <c r="BY110" s="53"/>
      <c r="BZ110" s="85">
        <v>40</v>
      </c>
      <c r="CA110" s="86" t="s">
        <v>170</v>
      </c>
      <c r="CB110" s="82">
        <f t="shared" si="232"/>
        <v>3620</v>
      </c>
      <c r="CC110" s="82">
        <f t="shared" si="232"/>
        <v>3010</v>
      </c>
      <c r="CD110" s="82">
        <f t="shared" si="232"/>
        <v>2600</v>
      </c>
      <c r="CE110" s="82">
        <f t="shared" si="232"/>
        <v>2300</v>
      </c>
      <c r="CF110" s="83">
        <f t="shared" si="233"/>
        <v>2090</v>
      </c>
      <c r="CG110" s="82">
        <f t="shared" si="232"/>
        <v>1920</v>
      </c>
      <c r="CH110" s="82">
        <f t="shared" si="232"/>
        <v>1780</v>
      </c>
      <c r="CI110" s="82">
        <f t="shared" si="232"/>
        <v>1670</v>
      </c>
      <c r="CJ110" s="82">
        <f t="shared" si="232"/>
        <v>1580</v>
      </c>
      <c r="CK110" s="87" t="s">
        <v>164</v>
      </c>
      <c r="CL110" s="193"/>
      <c r="CM110" s="197">
        <v>107</v>
      </c>
      <c r="CN110" s="197">
        <f t="shared" si="127"/>
        <v>-0.63425015829958542</v>
      </c>
      <c r="CO110" s="197">
        <f t="shared" si="132"/>
        <v>57.737966760198574</v>
      </c>
      <c r="CP110" s="197">
        <f t="shared" si="133"/>
        <v>-1.2320853495998854</v>
      </c>
    </row>
    <row r="111" spans="1:94" ht="15.5" x14ac:dyDescent="0.35">
      <c r="AE111" s="84"/>
      <c r="AF111" s="53"/>
      <c r="AG111" s="85">
        <v>40</v>
      </c>
      <c r="AH111" s="86" t="s">
        <v>39</v>
      </c>
      <c r="AI111" s="82">
        <f t="shared" si="229"/>
        <v>23600</v>
      </c>
      <c r="AJ111" s="82">
        <f t="shared" si="229"/>
        <v>18700</v>
      </c>
      <c r="AK111" s="82">
        <f t="shared" si="229"/>
        <v>14900</v>
      </c>
      <c r="AL111" s="82">
        <f t="shared" si="229"/>
        <v>12100</v>
      </c>
      <c r="AM111" s="83">
        <f t="shared" si="229"/>
        <v>10000</v>
      </c>
      <c r="AN111" s="82">
        <f t="shared" si="229"/>
        <v>8500</v>
      </c>
      <c r="AO111" s="82">
        <f t="shared" si="229"/>
        <v>7300</v>
      </c>
      <c r="AP111" s="82">
        <f t="shared" si="229"/>
        <v>6500</v>
      </c>
      <c r="AQ111" s="82">
        <f t="shared" si="229"/>
        <v>5800</v>
      </c>
      <c r="AR111" s="87" t="s">
        <v>33</v>
      </c>
      <c r="AT111" s="84"/>
      <c r="AU111" s="53"/>
      <c r="AV111" s="85">
        <v>40</v>
      </c>
      <c r="AW111" s="86" t="s">
        <v>39</v>
      </c>
      <c r="AX111" s="82">
        <f t="shared" si="230"/>
        <v>17000</v>
      </c>
      <c r="AY111" s="82">
        <f t="shared" si="230"/>
        <v>14300</v>
      </c>
      <c r="AZ111" s="82">
        <f t="shared" si="230"/>
        <v>12500</v>
      </c>
      <c r="BA111" s="82">
        <f t="shared" si="230"/>
        <v>11100</v>
      </c>
      <c r="BB111" s="83">
        <f t="shared" si="230"/>
        <v>10000</v>
      </c>
      <c r="BC111" s="82">
        <f t="shared" si="230"/>
        <v>9200</v>
      </c>
      <c r="BD111" s="82">
        <f t="shared" si="230"/>
        <v>8500</v>
      </c>
      <c r="BE111" s="82">
        <f t="shared" si="230"/>
        <v>7900</v>
      </c>
      <c r="BF111" s="82">
        <f t="shared" si="230"/>
        <v>7500</v>
      </c>
      <c r="BG111" s="87" t="s">
        <v>33</v>
      </c>
      <c r="BI111" s="84"/>
      <c r="BJ111" s="53"/>
      <c r="BK111" s="85">
        <v>50</v>
      </c>
      <c r="BL111" s="86" t="s">
        <v>170</v>
      </c>
      <c r="BM111" s="82">
        <f t="shared" si="231"/>
        <v>6080</v>
      </c>
      <c r="BN111" s="82">
        <f t="shared" si="231"/>
        <v>4740</v>
      </c>
      <c r="BO111" s="82">
        <f t="shared" si="231"/>
        <v>3730</v>
      </c>
      <c r="BP111" s="82">
        <f t="shared" si="231"/>
        <v>2990</v>
      </c>
      <c r="BQ111" s="83">
        <f t="shared" si="231"/>
        <v>2460</v>
      </c>
      <c r="BR111" s="82">
        <f t="shared" si="231"/>
        <v>2080</v>
      </c>
      <c r="BS111" s="82">
        <f t="shared" si="231"/>
        <v>1800</v>
      </c>
      <c r="BT111" s="82">
        <f t="shared" si="231"/>
        <v>1600</v>
      </c>
      <c r="BU111" s="82">
        <f t="shared" si="231"/>
        <v>1440</v>
      </c>
      <c r="BV111" s="87" t="s">
        <v>164</v>
      </c>
      <c r="BX111" s="84"/>
      <c r="BY111" s="53"/>
      <c r="BZ111" s="85">
        <v>50</v>
      </c>
      <c r="CA111" s="86" t="s">
        <v>170</v>
      </c>
      <c r="CB111" s="82">
        <f t="shared" si="232"/>
        <v>4390</v>
      </c>
      <c r="CC111" s="82">
        <f t="shared" si="232"/>
        <v>3610</v>
      </c>
      <c r="CD111" s="82">
        <f t="shared" si="232"/>
        <v>3100</v>
      </c>
      <c r="CE111" s="82">
        <f t="shared" si="232"/>
        <v>2740</v>
      </c>
      <c r="CF111" s="83">
        <f t="shared" si="233"/>
        <v>2460</v>
      </c>
      <c r="CG111" s="82">
        <f t="shared" si="232"/>
        <v>2250</v>
      </c>
      <c r="CH111" s="82">
        <f t="shared" si="232"/>
        <v>2080</v>
      </c>
      <c r="CI111" s="82">
        <f t="shared" si="232"/>
        <v>1950</v>
      </c>
      <c r="CJ111" s="82">
        <f t="shared" si="232"/>
        <v>1830</v>
      </c>
      <c r="CK111" s="87" t="s">
        <v>164</v>
      </c>
      <c r="CL111" s="193"/>
      <c r="CM111" s="197">
        <v>108</v>
      </c>
      <c r="CN111" s="197">
        <f t="shared" si="127"/>
        <v>-0.64176009423788449</v>
      </c>
      <c r="CO111" s="197">
        <f t="shared" si="132"/>
        <v>58.277573926181738</v>
      </c>
      <c r="CP111" s="197">
        <f t="shared" si="133"/>
        <v>-1.2466740444940558</v>
      </c>
    </row>
    <row r="112" spans="1:94" ht="15.5" x14ac:dyDescent="0.35">
      <c r="AE112" s="84"/>
      <c r="AF112" s="53"/>
      <c r="AG112" s="85">
        <v>50</v>
      </c>
      <c r="AH112" s="86" t="s">
        <v>39</v>
      </c>
      <c r="AI112" s="82">
        <f t="shared" si="229"/>
        <v>29000</v>
      </c>
      <c r="AJ112" s="82">
        <f t="shared" si="229"/>
        <v>22800</v>
      </c>
      <c r="AK112" s="82">
        <f t="shared" si="229"/>
        <v>18200</v>
      </c>
      <c r="AL112" s="82">
        <f t="shared" si="229"/>
        <v>14600</v>
      </c>
      <c r="AM112" s="83">
        <f t="shared" si="229"/>
        <v>12000</v>
      </c>
      <c r="AN112" s="82">
        <f t="shared" si="229"/>
        <v>10100</v>
      </c>
      <c r="AO112" s="82">
        <f t="shared" si="229"/>
        <v>8700</v>
      </c>
      <c r="AP112" s="82">
        <f t="shared" si="229"/>
        <v>7600</v>
      </c>
      <c r="AQ112" s="82">
        <f t="shared" si="229"/>
        <v>6800</v>
      </c>
      <c r="AR112" s="87" t="s">
        <v>33</v>
      </c>
      <c r="AT112" s="84"/>
      <c r="AU112" s="53"/>
      <c r="AV112" s="85">
        <v>50</v>
      </c>
      <c r="AW112" s="86" t="s">
        <v>39</v>
      </c>
      <c r="AX112" s="82">
        <f t="shared" si="230"/>
        <v>20800</v>
      </c>
      <c r="AY112" s="82">
        <f t="shared" si="230"/>
        <v>17400</v>
      </c>
      <c r="AZ112" s="82">
        <f t="shared" si="230"/>
        <v>15100</v>
      </c>
      <c r="BA112" s="82">
        <f t="shared" si="230"/>
        <v>13400</v>
      </c>
      <c r="BB112" s="83">
        <f t="shared" si="230"/>
        <v>12000</v>
      </c>
      <c r="BC112" s="82">
        <f t="shared" si="230"/>
        <v>11000</v>
      </c>
      <c r="BD112" s="82">
        <f t="shared" si="230"/>
        <v>10100</v>
      </c>
      <c r="BE112" s="82">
        <f t="shared" si="230"/>
        <v>9400</v>
      </c>
      <c r="BF112" s="82">
        <f t="shared" si="230"/>
        <v>8800</v>
      </c>
      <c r="BG112" s="87" t="s">
        <v>33</v>
      </c>
      <c r="BI112" s="84"/>
      <c r="BJ112" s="53"/>
      <c r="BK112" s="85">
        <v>100</v>
      </c>
      <c r="BL112" s="86" t="s">
        <v>170</v>
      </c>
      <c r="BM112" s="82">
        <f t="shared" si="231"/>
        <v>11590</v>
      </c>
      <c r="BN112" s="82">
        <f t="shared" si="231"/>
        <v>8900</v>
      </c>
      <c r="BO112" s="82">
        <f t="shared" si="231"/>
        <v>6880</v>
      </c>
      <c r="BP112" s="82">
        <f t="shared" si="231"/>
        <v>5410</v>
      </c>
      <c r="BQ112" s="83">
        <f t="shared" si="231"/>
        <v>4350</v>
      </c>
      <c r="BR112" s="82">
        <f t="shared" si="231"/>
        <v>3580</v>
      </c>
      <c r="BS112" s="82">
        <f t="shared" si="231"/>
        <v>3030</v>
      </c>
      <c r="BT112" s="82">
        <f t="shared" si="231"/>
        <v>2620</v>
      </c>
      <c r="BU112" s="82">
        <f t="shared" si="231"/>
        <v>2310</v>
      </c>
      <c r="BV112" s="87" t="s">
        <v>164</v>
      </c>
      <c r="BX112" s="84"/>
      <c r="BY112" s="53"/>
      <c r="BZ112" s="85">
        <v>100</v>
      </c>
      <c r="CA112" s="86" t="s">
        <v>170</v>
      </c>
      <c r="CB112" s="82">
        <f t="shared" si="232"/>
        <v>8190</v>
      </c>
      <c r="CC112" s="82">
        <f t="shared" si="232"/>
        <v>6650</v>
      </c>
      <c r="CD112" s="82">
        <f t="shared" si="232"/>
        <v>5620</v>
      </c>
      <c r="CE112" s="82">
        <f t="shared" si="232"/>
        <v>4890</v>
      </c>
      <c r="CF112" s="83">
        <f t="shared" si="233"/>
        <v>4350</v>
      </c>
      <c r="CG112" s="82">
        <f t="shared" si="232"/>
        <v>3930</v>
      </c>
      <c r="CH112" s="82">
        <f t="shared" si="232"/>
        <v>3590</v>
      </c>
      <c r="CI112" s="82">
        <f t="shared" si="232"/>
        <v>3310</v>
      </c>
      <c r="CJ112" s="82">
        <f t="shared" si="232"/>
        <v>3080</v>
      </c>
      <c r="CK112" s="87" t="s">
        <v>164</v>
      </c>
      <c r="CL112" s="193"/>
      <c r="CM112" s="197">
        <v>109</v>
      </c>
      <c r="CN112" s="197">
        <f t="shared" si="127"/>
        <v>-0.64976203848948633</v>
      </c>
      <c r="CO112" s="197">
        <f t="shared" si="132"/>
        <v>58.817181092164908</v>
      </c>
      <c r="CP112" s="197">
        <f t="shared" si="133"/>
        <v>-1.2622185077499195</v>
      </c>
    </row>
    <row r="113" spans="31:94" ht="15.5" x14ac:dyDescent="0.35">
      <c r="AE113" s="88"/>
      <c r="AF113" s="89"/>
      <c r="AG113" s="61"/>
      <c r="AH113" s="90" t="s">
        <v>40</v>
      </c>
      <c r="AI113" s="91">
        <f>KphToKts*(aRprime*AI93*KtsToKph-SQRT(aRprime*(aRprime*(AI93*KtsToKph)^2-$AE107*KtsToKph+bRprime*AI93*KtsToKph+cRprime)))/aRprime</f>
        <v>111.04813989513568</v>
      </c>
      <c r="AJ113" s="91">
        <f>KphToKts*(aRprime*AJ93*KtsToKph-SQRT(aRprime*(aRprime*(AJ93*KtsToKph)^2-$AE107*KtsToKph+bRprime*AJ93*KtsToKph+cRprime)))/aRprime</f>
        <v>103.0976336530827</v>
      </c>
      <c r="AK113" s="91">
        <f>KphToKts*(aRprime*AK93*KtsToKph-SQRT(aRprime*(aRprime*(AK93*KtsToKph)^2-$AE107*KtsToKph+bRprime*AK93*KtsToKph+cRprime)))/aRprime</f>
        <v>96.41132055397162</v>
      </c>
      <c r="AL113" s="91">
        <f>KphToKts*(aRprime*AL93*KtsToKph-SQRT(aRprime*(aRprime*(AL93*KtsToKph)^2-$AE107*KtsToKph+bRprime*AL93*KtsToKph+cRprime)))/aRprime</f>
        <v>90.833877625184641</v>
      </c>
      <c r="AM113" s="178">
        <f>KphToKts*(aRprime*AM106*KtsToKph-SQRT(aRprime*(aRprime*(AM106*KtsToKph)^2-$AE107*KtsToKph+bRprime*AM106*KtsToKph+cRprime)))/aRprime</f>
        <v>86.194788908871104</v>
      </c>
      <c r="AN113" s="91">
        <f>KphToKts*(aRprime*AN93*KtsToKph-SQRT(aRprime*(aRprime*(AN93*KtsToKph)^2-$AE107*KtsToKph+bRprime*AN93*KtsToKph+cRprime)))/aRprime</f>
        <v>82.330750555632164</v>
      </c>
      <c r="AO113" s="91">
        <f>KphToKts*(aRprime*AO93*KtsToKph-SQRT(aRprime*(aRprime*(AO93*KtsToKph)^2-$AE107*KtsToKph+bRprime*AO93*KtsToKph+cRprime)))/aRprime</f>
        <v>79.097897865130761</v>
      </c>
      <c r="AP113" s="91">
        <f>KphToKts*(aRprime*AP93*KtsToKph-SQRT(aRprime*(aRprime*(AP93*KtsToKph)^2-$AE107*KtsToKph+bRprime*AP93*KtsToKph+cRprime)))/aRprime</f>
        <v>76.375839476872798</v>
      </c>
      <c r="AQ113" s="91">
        <f>KphToKts*(aRprime*AQ93*KtsToKph-SQRT(aRprime*(aRprime*(AQ93*KtsToKph)^2-$AE107*KtsToKph+bRprime*AQ93*KtsToKph+cRprime)))/aRprime</f>
        <v>74.066844821494584</v>
      </c>
      <c r="AR113" s="72" t="s">
        <v>8</v>
      </c>
      <c r="AT113" s="88"/>
      <c r="AU113" s="89"/>
      <c r="AV113" s="61"/>
      <c r="AW113" s="90" t="s">
        <v>40</v>
      </c>
      <c r="AX113" s="177">
        <f t="shared" ref="AX113:BF113" si="234">KphToKts*(-1*SQRT(aRprime*(-$AT107*KtsToKph+cRprime)))/aRprime</f>
        <v>86.194788908871104</v>
      </c>
      <c r="AY113" s="177">
        <f t="shared" si="234"/>
        <v>86.194788908871104</v>
      </c>
      <c r="AZ113" s="177">
        <f t="shared" si="234"/>
        <v>86.194788908871104</v>
      </c>
      <c r="BA113" s="177">
        <f t="shared" si="234"/>
        <v>86.194788908871104</v>
      </c>
      <c r="BB113" s="178">
        <f t="shared" si="234"/>
        <v>86.194788908871104</v>
      </c>
      <c r="BC113" s="177">
        <f t="shared" si="234"/>
        <v>86.194788908871104</v>
      </c>
      <c r="BD113" s="177">
        <f t="shared" si="234"/>
        <v>86.194788908871104</v>
      </c>
      <c r="BE113" s="177">
        <f t="shared" si="234"/>
        <v>86.194788908871104</v>
      </c>
      <c r="BF113" s="177">
        <f t="shared" si="234"/>
        <v>86.194788908871104</v>
      </c>
      <c r="BG113" s="72" t="s">
        <v>8</v>
      </c>
      <c r="BI113" s="88"/>
      <c r="BJ113" s="89"/>
      <c r="BK113" s="61"/>
      <c r="BL113" s="90" t="s">
        <v>40</v>
      </c>
      <c r="BM113" s="177">
        <f t="shared" ref="BM113:BU113" si="235">(aRprime*BM106-SQRT(aRprime*(aRprime*BM106^2-$BI107*MpsToKph+bRprime*BM106+cRprime)))/aRprime</f>
        <v>209.37296338313965</v>
      </c>
      <c r="BN113" s="177">
        <f t="shared" si="235"/>
        <v>192.765997430098</v>
      </c>
      <c r="BO113" s="177">
        <f t="shared" si="235"/>
        <v>178.98293597662408</v>
      </c>
      <c r="BP113" s="177">
        <f t="shared" si="235"/>
        <v>167.66754183555705</v>
      </c>
      <c r="BQ113" s="178">
        <f t="shared" si="235"/>
        <v>158.41448586170895</v>
      </c>
      <c r="BR113" s="177">
        <f t="shared" si="235"/>
        <v>150.83499568268556</v>
      </c>
      <c r="BS113" s="177">
        <f t="shared" si="235"/>
        <v>144.59155497740622</v>
      </c>
      <c r="BT113" s="177">
        <f t="shared" si="235"/>
        <v>139.40784485082423</v>
      </c>
      <c r="BU113" s="177">
        <f t="shared" si="235"/>
        <v>135.06495532076812</v>
      </c>
      <c r="BV113" s="72" t="s">
        <v>1</v>
      </c>
      <c r="BX113" s="88"/>
      <c r="BY113" s="89"/>
      <c r="BZ113" s="61"/>
      <c r="CA113" s="90" t="s">
        <v>40</v>
      </c>
      <c r="CB113" s="177">
        <f t="shared" ref="CB113:CJ113" si="236">(-1*SQRT(aRprime*(-$BX107*MpsToKph+cRprime)))/aRprime</f>
        <v>158.41448586170895</v>
      </c>
      <c r="CC113" s="177">
        <f t="shared" si="236"/>
        <v>158.41448586170895</v>
      </c>
      <c r="CD113" s="177">
        <f t="shared" si="236"/>
        <v>158.41448586170895</v>
      </c>
      <c r="CE113" s="177">
        <f t="shared" si="236"/>
        <v>158.41448586170895</v>
      </c>
      <c r="CF113" s="178">
        <f t="shared" si="236"/>
        <v>158.41448586170895</v>
      </c>
      <c r="CG113" s="177">
        <f t="shared" si="236"/>
        <v>158.41448586170895</v>
      </c>
      <c r="CH113" s="177">
        <f t="shared" si="236"/>
        <v>158.41448586170895</v>
      </c>
      <c r="CI113" s="177">
        <f t="shared" si="236"/>
        <v>158.41448586170895</v>
      </c>
      <c r="CJ113" s="177">
        <f t="shared" si="236"/>
        <v>158.41448586170895</v>
      </c>
      <c r="CK113" s="72" t="s">
        <v>1</v>
      </c>
      <c r="CL113" s="193"/>
      <c r="CM113" s="197">
        <v>110</v>
      </c>
      <c r="CN113" s="197">
        <f t="shared" si="127"/>
        <v>-0.65825599105438981</v>
      </c>
      <c r="CO113" s="197">
        <f t="shared" si="132"/>
        <v>59.356788258148072</v>
      </c>
      <c r="CP113" s="197">
        <f t="shared" si="133"/>
        <v>-1.2787187393674742</v>
      </c>
    </row>
    <row r="114" spans="31:94" ht="15.5" x14ac:dyDescent="0.35">
      <c r="AE114" s="84"/>
      <c r="AF114" s="62"/>
      <c r="AG114" s="63"/>
      <c r="AH114" s="92" t="s">
        <v>41</v>
      </c>
      <c r="AI114" s="190">
        <f t="shared" ref="AI114:AQ114" si="237">KphToKts*($AE107*KtsToKph-AI106*KtsToKph*(2*aRprime*AI113*KtsToKph+bRprime))</f>
        <v>15.045511006733214</v>
      </c>
      <c r="AJ114" s="190">
        <f t="shared" si="237"/>
        <v>12.251220676112109</v>
      </c>
      <c r="AK114" s="190">
        <f t="shared" si="237"/>
        <v>10.061864911081637</v>
      </c>
      <c r="AL114" s="190">
        <f t="shared" si="237"/>
        <v>8.347856053681932</v>
      </c>
      <c r="AM114" s="190">
        <f t="shared" si="237"/>
        <v>7</v>
      </c>
      <c r="AN114" s="190">
        <f t="shared" si="237"/>
        <v>5.931254271303704</v>
      </c>
      <c r="AO114" s="190">
        <f t="shared" si="237"/>
        <v>5.0747416558364264</v>
      </c>
      <c r="AP114" s="190">
        <f t="shared" si="237"/>
        <v>4.3801625535096971</v>
      </c>
      <c r="AQ114" s="190">
        <f t="shared" si="237"/>
        <v>3.8100491663487897</v>
      </c>
      <c r="AR114" s="93" t="s">
        <v>8</v>
      </c>
      <c r="AT114" s="84"/>
      <c r="AU114" s="62"/>
      <c r="AV114" s="63"/>
      <c r="AW114" s="92" t="s">
        <v>41</v>
      </c>
      <c r="AX114" s="207">
        <f t="shared" ref="AX114:BF114" si="238">$AT107</f>
        <v>7</v>
      </c>
      <c r="AY114" s="207">
        <f t="shared" si="238"/>
        <v>7</v>
      </c>
      <c r="AZ114" s="207">
        <f t="shared" si="238"/>
        <v>7</v>
      </c>
      <c r="BA114" s="207">
        <f t="shared" si="238"/>
        <v>7</v>
      </c>
      <c r="BB114" s="207">
        <f t="shared" si="238"/>
        <v>7</v>
      </c>
      <c r="BC114" s="207">
        <f t="shared" si="238"/>
        <v>7</v>
      </c>
      <c r="BD114" s="207">
        <f t="shared" si="238"/>
        <v>7</v>
      </c>
      <c r="BE114" s="207">
        <f t="shared" si="238"/>
        <v>7</v>
      </c>
      <c r="BF114" s="207">
        <f t="shared" si="238"/>
        <v>7</v>
      </c>
      <c r="BG114" s="93" t="s">
        <v>8</v>
      </c>
      <c r="BI114" s="84"/>
      <c r="BJ114" s="62"/>
      <c r="BK114" s="63"/>
      <c r="BL114" s="92" t="s">
        <v>41</v>
      </c>
      <c r="BM114" s="190">
        <f t="shared" ref="BM114:BU114" si="239">KphToMps*($BI107*MpsToKph-BM106*(2*aRprime*BM113+bRprime))</f>
        <v>8.1105824658797676</v>
      </c>
      <c r="BN114" s="190">
        <f t="shared" si="239"/>
        <v>6.467690930952811</v>
      </c>
      <c r="BO114" s="190">
        <f t="shared" si="239"/>
        <v>5.2072053879208422</v>
      </c>
      <c r="BP114" s="190">
        <f t="shared" si="239"/>
        <v>4.2422573342465855</v>
      </c>
      <c r="BQ114" s="190">
        <f t="shared" si="239"/>
        <v>3.5</v>
      </c>
      <c r="BR114" s="190">
        <f t="shared" si="239"/>
        <v>2.9233777185784038</v>
      </c>
      <c r="BS114" s="190">
        <f t="shared" si="239"/>
        <v>2.4696284263809858</v>
      </c>
      <c r="BT114" s="190">
        <f t="shared" si="239"/>
        <v>2.1074683481329908</v>
      </c>
      <c r="BU114" s="190">
        <f t="shared" si="239"/>
        <v>1.8142301510471137</v>
      </c>
      <c r="BV114" s="93" t="s">
        <v>0</v>
      </c>
      <c r="BX114" s="84"/>
      <c r="BY114" s="62"/>
      <c r="BZ114" s="63"/>
      <c r="CA114" s="92" t="s">
        <v>41</v>
      </c>
      <c r="CB114" s="207">
        <f t="shared" ref="CB114:CE114" si="240">$BX107</f>
        <v>3.5</v>
      </c>
      <c r="CC114" s="207">
        <f t="shared" si="240"/>
        <v>3.5</v>
      </c>
      <c r="CD114" s="207">
        <f t="shared" si="240"/>
        <v>3.5</v>
      </c>
      <c r="CE114" s="207">
        <f t="shared" si="240"/>
        <v>3.5</v>
      </c>
      <c r="CF114" s="207">
        <f>$BX107</f>
        <v>3.5</v>
      </c>
      <c r="CG114" s="207">
        <f t="shared" ref="CG114:CJ114" si="241">$BX107</f>
        <v>3.5</v>
      </c>
      <c r="CH114" s="207">
        <f t="shared" si="241"/>
        <v>3.5</v>
      </c>
      <c r="CI114" s="207">
        <f t="shared" si="241"/>
        <v>3.5</v>
      </c>
      <c r="CJ114" s="207">
        <f t="shared" si="241"/>
        <v>3.5</v>
      </c>
      <c r="CK114" s="93" t="s">
        <v>0</v>
      </c>
      <c r="CL114" s="193"/>
      <c r="CM114" s="197">
        <v>111</v>
      </c>
      <c r="CN114" s="197">
        <f t="shared" si="127"/>
        <v>-0.66724195193259506</v>
      </c>
      <c r="CO114" s="197">
        <f t="shared" si="132"/>
        <v>59.896395424131235</v>
      </c>
      <c r="CP114" s="197">
        <f t="shared" si="133"/>
        <v>-1.2961747393467205</v>
      </c>
    </row>
    <row r="115" spans="31:94" ht="15.5" x14ac:dyDescent="0.35">
      <c r="AE115" s="94"/>
      <c r="AF115" s="89"/>
      <c r="AG115" s="61"/>
      <c r="AH115" s="71" t="s">
        <v>49</v>
      </c>
      <c r="AI115" s="95">
        <f t="shared" ref="AI115:AL115" si="242">AI113-AI106</f>
        <v>71.048139895135677</v>
      </c>
      <c r="AJ115" s="95">
        <f t="shared" si="242"/>
        <v>73.097633653082696</v>
      </c>
      <c r="AK115" s="95">
        <f t="shared" si="242"/>
        <v>76.41132055397162</v>
      </c>
      <c r="AL115" s="95">
        <f t="shared" si="242"/>
        <v>80.833877625184641</v>
      </c>
      <c r="AM115" s="95">
        <f>AM113-AM106</f>
        <v>86.194788908871104</v>
      </c>
      <c r="AN115" s="95">
        <f t="shared" ref="AN115:AQ115" si="243">AN113-AN106</f>
        <v>92.330750555632164</v>
      </c>
      <c r="AO115" s="95">
        <f t="shared" si="243"/>
        <v>99.097897865130761</v>
      </c>
      <c r="AP115" s="95">
        <f t="shared" si="243"/>
        <v>106.3758394768728</v>
      </c>
      <c r="AQ115" s="95">
        <f t="shared" si="243"/>
        <v>114.06684482149458</v>
      </c>
      <c r="AR115" s="96" t="s">
        <v>8</v>
      </c>
      <c r="AT115" s="94"/>
      <c r="AU115" s="89"/>
      <c r="AV115" s="61"/>
      <c r="AW115" s="71" t="s">
        <v>49</v>
      </c>
      <c r="AX115" s="95">
        <f t="shared" ref="AX115:BA115" si="244">AX113-AX106</f>
        <v>46.194788908871104</v>
      </c>
      <c r="AY115" s="95">
        <f t="shared" si="244"/>
        <v>56.194788908871104</v>
      </c>
      <c r="AZ115" s="95">
        <f t="shared" si="244"/>
        <v>66.194788908871104</v>
      </c>
      <c r="BA115" s="95">
        <f t="shared" si="244"/>
        <v>76.194788908871104</v>
      </c>
      <c r="BB115" s="95">
        <f>BB113-BB106</f>
        <v>86.194788908871104</v>
      </c>
      <c r="BC115" s="95">
        <f t="shared" ref="BC115:BF115" si="245">BC113-BC106</f>
        <v>96.194788908871104</v>
      </c>
      <c r="BD115" s="95">
        <f t="shared" si="245"/>
        <v>106.1947889088711</v>
      </c>
      <c r="BE115" s="95">
        <f t="shared" si="245"/>
        <v>116.1947889088711</v>
      </c>
      <c r="BF115" s="95">
        <f t="shared" si="245"/>
        <v>126.1947889088711</v>
      </c>
      <c r="BG115" s="96" t="s">
        <v>8</v>
      </c>
      <c r="BI115" s="94"/>
      <c r="BJ115" s="89"/>
      <c r="BK115" s="61"/>
      <c r="BL115" s="71" t="s">
        <v>49</v>
      </c>
      <c r="BM115" s="95">
        <f t="shared" ref="BM115:BP115" si="246">BM113-BM106</f>
        <v>129.37296338313965</v>
      </c>
      <c r="BN115" s="95">
        <f t="shared" si="246"/>
        <v>132.765997430098</v>
      </c>
      <c r="BO115" s="95">
        <f t="shared" si="246"/>
        <v>138.98293597662408</v>
      </c>
      <c r="BP115" s="95">
        <f t="shared" si="246"/>
        <v>147.66754183555705</v>
      </c>
      <c r="BQ115" s="95">
        <f>BQ113-BQ106</f>
        <v>158.41448586170895</v>
      </c>
      <c r="BR115" s="95">
        <f t="shared" ref="BR115:BU115" si="247">BR113-BR106</f>
        <v>170.83499568268556</v>
      </c>
      <c r="BS115" s="95">
        <f t="shared" si="247"/>
        <v>184.59155497740622</v>
      </c>
      <c r="BT115" s="95">
        <f t="shared" si="247"/>
        <v>199.40784485082423</v>
      </c>
      <c r="BU115" s="95">
        <f t="shared" si="247"/>
        <v>215.06495532076812</v>
      </c>
      <c r="BV115" s="96" t="s">
        <v>1</v>
      </c>
      <c r="BX115" s="94"/>
      <c r="BY115" s="89"/>
      <c r="BZ115" s="61"/>
      <c r="CA115" s="71" t="s">
        <v>49</v>
      </c>
      <c r="CB115" s="95">
        <f t="shared" ref="CB115:CE115" si="248">CB113-CB106</f>
        <v>78.414485861708954</v>
      </c>
      <c r="CC115" s="95">
        <f t="shared" si="248"/>
        <v>98.414485861708954</v>
      </c>
      <c r="CD115" s="95">
        <f t="shared" si="248"/>
        <v>118.41448586170895</v>
      </c>
      <c r="CE115" s="95">
        <f t="shared" si="248"/>
        <v>138.41448586170895</v>
      </c>
      <c r="CF115" s="95">
        <f>CF113-CF106</f>
        <v>158.41448586170895</v>
      </c>
      <c r="CG115" s="95">
        <f t="shared" ref="CG115:CJ115" si="249">CG113-CG106</f>
        <v>178.41448586170895</v>
      </c>
      <c r="CH115" s="95">
        <f t="shared" si="249"/>
        <v>198.41448586170895</v>
      </c>
      <c r="CI115" s="95">
        <f t="shared" si="249"/>
        <v>218.41448586170895</v>
      </c>
      <c r="CJ115" s="95">
        <f t="shared" si="249"/>
        <v>238.41448586170895</v>
      </c>
      <c r="CK115" s="96" t="s">
        <v>1</v>
      </c>
      <c r="CL115" s="194"/>
      <c r="CM115" s="197">
        <v>112</v>
      </c>
      <c r="CN115" s="197">
        <f t="shared" si="127"/>
        <v>-0.67671992112410262</v>
      </c>
      <c r="CO115" s="197">
        <f t="shared" si="132"/>
        <v>60.436002590114398</v>
      </c>
      <c r="CP115" s="197">
        <f t="shared" si="133"/>
        <v>-1.3145865076876588</v>
      </c>
    </row>
    <row r="116" spans="31:94" ht="15.5" x14ac:dyDescent="0.35">
      <c r="AE116" s="84"/>
      <c r="AF116" s="89"/>
      <c r="AG116" s="61"/>
      <c r="AH116" s="71" t="s">
        <v>42</v>
      </c>
      <c r="AI116" s="95">
        <f t="shared" ref="AI116" si="250">-AI115/AI117</f>
        <v>9.7453512166483183</v>
      </c>
      <c r="AJ116" s="95">
        <f t="shared" ref="AJ116" si="251">-AJ115/AJ117</f>
        <v>12.613783370807893</v>
      </c>
      <c r="AK116" s="95">
        <f t="shared" ref="AK116" si="252">-AK115/AK117</f>
        <v>16.264451360856423</v>
      </c>
      <c r="AL116" s="95">
        <f t="shared" ref="AL116" si="253">-AL115/AL117</f>
        <v>20.751946650844548</v>
      </c>
      <c r="AM116" s="95">
        <f>-AM115/AM117</f>
        <v>26.077894805214015</v>
      </c>
      <c r="AN116" s="95">
        <f t="shared" ref="AN116" si="254">-AN115/AN117</f>
        <v>32.195565863907163</v>
      </c>
      <c r="AO116" s="95">
        <f t="shared" ref="AO116" si="255">-AO115/AO117</f>
        <v>39.023328292006269</v>
      </c>
      <c r="AP116" s="95">
        <f t="shared" ref="AP116" si="256">-AP115/AP117</f>
        <v>46.460847670174104</v>
      </c>
      <c r="AQ116" s="95">
        <f t="shared" ref="AQ116" si="257">-AQ115/AQ117</f>
        <v>54.403277769298278</v>
      </c>
      <c r="AR116" s="96"/>
      <c r="AT116" s="84"/>
      <c r="AU116" s="89"/>
      <c r="AV116" s="61"/>
      <c r="AW116" s="71" t="s">
        <v>42</v>
      </c>
      <c r="AX116" s="95">
        <f t="shared" ref="AX116:BA116" si="258">-AX115/AX117</f>
        <v>13.976051928014233</v>
      </c>
      <c r="AY116" s="95">
        <f t="shared" si="258"/>
        <v>17.001512647314179</v>
      </c>
      <c r="AZ116" s="95">
        <f t="shared" si="258"/>
        <v>20.026973366614126</v>
      </c>
      <c r="BA116" s="95">
        <f t="shared" si="258"/>
        <v>23.052434085914069</v>
      </c>
      <c r="BB116" s="95">
        <f>-BB115/BB117</f>
        <v>26.077894805214015</v>
      </c>
      <c r="BC116" s="95">
        <f t="shared" ref="BC116:BF116" si="259">-BC115/BC117</f>
        <v>29.103355524513962</v>
      </c>
      <c r="BD116" s="95">
        <f t="shared" si="259"/>
        <v>32.128816243813908</v>
      </c>
      <c r="BE116" s="95">
        <f t="shared" si="259"/>
        <v>35.154276963113851</v>
      </c>
      <c r="BF116" s="95">
        <f t="shared" si="259"/>
        <v>38.179737682413801</v>
      </c>
      <c r="BG116" s="96"/>
      <c r="BI116" s="84"/>
      <c r="BJ116" s="89"/>
      <c r="BK116" s="61"/>
      <c r="BL116" s="71" t="s">
        <v>42</v>
      </c>
      <c r="BM116" s="95">
        <f>-BM115/BM117/MpsToKph</f>
        <v>9.0840239406817549</v>
      </c>
      <c r="BN116" s="95">
        <f>-BN115/BN117/MpsToKph</f>
        <v>12.025353540975548</v>
      </c>
      <c r="BO116" s="95">
        <f>-BO115/BO117/MpsToKph</f>
        <v>15.875567707411667</v>
      </c>
      <c r="BP116" s="95">
        <f>-BP115/BP117/MpsToKph</f>
        <v>20.712719672745351</v>
      </c>
      <c r="BQ116" s="95">
        <f>-BQ115/BQ117/MpsToKph</f>
        <v>26.540088272402173</v>
      </c>
      <c r="BR116" s="95">
        <f>-BR115/BR117/MpsToKph</f>
        <v>33.29268208553939</v>
      </c>
      <c r="BS116" s="95">
        <f>-BS115/BS117/MpsToKph</f>
        <v>40.85863444722925</v>
      </c>
      <c r="BT116" s="95">
        <f>-BT115/BT117/MpsToKph</f>
        <v>49.104297519906268</v>
      </c>
      <c r="BU116" s="95">
        <f>-BU115/BU117/MpsToKph</f>
        <v>57.894854402023405</v>
      </c>
      <c r="BV116" s="96"/>
      <c r="BX116" s="84"/>
      <c r="BY116" s="89"/>
      <c r="BZ116" s="61"/>
      <c r="CA116" s="71" t="s">
        <v>42</v>
      </c>
      <c r="CB116" s="95">
        <f>-CB115/CB117/MpsToKph</f>
        <v>13.137228993196677</v>
      </c>
      <c r="CC116" s="95">
        <f>-CC115/CC117/MpsToKph</f>
        <v>16.487943812998054</v>
      </c>
      <c r="CD116" s="95">
        <f>-CD115/CD117/MpsToKph</f>
        <v>19.838658632799426</v>
      </c>
      <c r="CE116" s="95">
        <f>-CE115/CE117/MpsToKph</f>
        <v>23.189373452600801</v>
      </c>
      <c r="CF116" s="95">
        <f>-CF115/CF117/MpsToKph</f>
        <v>26.540088272402173</v>
      </c>
      <c r="CG116" s="95">
        <f>-CG115/CG117/MpsToKph</f>
        <v>29.890803092203551</v>
      </c>
      <c r="CH116" s="95">
        <f>-CH115/CH117/MpsToKph</f>
        <v>33.241517912004923</v>
      </c>
      <c r="CI116" s="95">
        <f>-CI115/CI117/MpsToKph</f>
        <v>36.592232731806298</v>
      </c>
      <c r="CJ116" s="95">
        <f>-CJ115/CJ117/MpsToKph</f>
        <v>39.942947551607674</v>
      </c>
      <c r="CK116" s="96"/>
      <c r="CL116" s="194"/>
      <c r="CM116" s="197">
        <v>113</v>
      </c>
      <c r="CN116" s="197">
        <f t="shared" si="127"/>
        <v>-0.68668989862891139</v>
      </c>
      <c r="CO116" s="197">
        <f t="shared" si="132"/>
        <v>60.975609756097562</v>
      </c>
      <c r="CP116" s="197">
        <f t="shared" si="133"/>
        <v>-1.3339540443902878</v>
      </c>
    </row>
    <row r="117" spans="31:94" ht="16" thickBot="1" x14ac:dyDescent="0.4">
      <c r="AE117" s="97"/>
      <c r="AF117" s="64"/>
      <c r="AG117" s="65"/>
      <c r="AH117" s="98" t="s">
        <v>43</v>
      </c>
      <c r="AI117" s="191">
        <f t="shared" ref="AI117:AQ117" si="260">KphToKts*(aRprime*(AI113*KtsToKph)^2+bRprime*AI113*KtsToKph+cRprime)</f>
        <v>-7.2904647883558775</v>
      </c>
      <c r="AJ117" s="191">
        <f t="shared" si="260"/>
        <v>-5.7950601737978724</v>
      </c>
      <c r="AK117" s="191">
        <f t="shared" si="260"/>
        <v>-4.6980570606808403</v>
      </c>
      <c r="AL117" s="191">
        <f t="shared" si="260"/>
        <v>-3.8952431299689625</v>
      </c>
      <c r="AM117" s="191">
        <f t="shared" si="260"/>
        <v>-3.3052817166682225</v>
      </c>
      <c r="AN117" s="191">
        <f t="shared" si="260"/>
        <v>-2.8678095283655054</v>
      </c>
      <c r="AO117" s="191">
        <f t="shared" si="260"/>
        <v>-2.5394527376956328</v>
      </c>
      <c r="AP117" s="191">
        <f t="shared" si="260"/>
        <v>-2.2895802554450935</v>
      </c>
      <c r="AQ117" s="191">
        <f t="shared" si="260"/>
        <v>-2.0966906682572461</v>
      </c>
      <c r="AR117" s="99" t="s">
        <v>8</v>
      </c>
      <c r="AT117" s="97"/>
      <c r="AU117" s="64"/>
      <c r="AV117" s="65"/>
      <c r="AW117" s="98" t="s">
        <v>43</v>
      </c>
      <c r="AX117" s="191">
        <f t="shared" ref="AX117:BF117" si="261">KphToKts*(aRprime*(AX113*KtsToKph)^2+bRprime*AX113*KtsToKph+cRprime)</f>
        <v>-3.3052817166682225</v>
      </c>
      <c r="AY117" s="191">
        <f t="shared" si="261"/>
        <v>-3.3052817166682225</v>
      </c>
      <c r="AZ117" s="191">
        <f t="shared" si="261"/>
        <v>-3.3052817166682225</v>
      </c>
      <c r="BA117" s="191">
        <f t="shared" si="261"/>
        <v>-3.3052817166682225</v>
      </c>
      <c r="BB117" s="191">
        <f t="shared" si="261"/>
        <v>-3.3052817166682225</v>
      </c>
      <c r="BC117" s="191">
        <f t="shared" si="261"/>
        <v>-3.3052817166682225</v>
      </c>
      <c r="BD117" s="191">
        <f t="shared" si="261"/>
        <v>-3.3052817166682225</v>
      </c>
      <c r="BE117" s="191">
        <f t="shared" si="261"/>
        <v>-3.3052817166682225</v>
      </c>
      <c r="BF117" s="191">
        <f t="shared" si="261"/>
        <v>-3.3052817166682225</v>
      </c>
      <c r="BG117" s="99" t="s">
        <v>8</v>
      </c>
      <c r="BI117" s="97"/>
      <c r="BJ117" s="64"/>
      <c r="BK117" s="65"/>
      <c r="BL117" s="98" t="s">
        <v>43</v>
      </c>
      <c r="BM117" s="191">
        <f>KphToMps*(aRprime*BM113^2+bRprime*BM113+cRprime)</f>
        <v>-3.9560589566651108</v>
      </c>
      <c r="BN117" s="191">
        <f>KphToMps*(aRprime*BN113^2+bRprime*BN113+cRprime)</f>
        <v>-3.0668074418701003</v>
      </c>
      <c r="BO117" s="191">
        <f>KphToMps*(aRprime*BO113^2+bRprime*BO113+cRprime)</f>
        <v>-2.4318104282087516</v>
      </c>
      <c r="BP117" s="191">
        <f>KphToMps*(aRprime*BP113^2+bRprime*BP113+cRprime)</f>
        <v>-1.9803657978803355</v>
      </c>
      <c r="BQ117" s="191">
        <f>KphToMps*(aRprime*BQ113^2+bRprime*BQ113+cRprime)</f>
        <v>-1.6580210057640419</v>
      </c>
      <c r="BR117" s="191">
        <f>KphToMps*(aRprime*BR113^2+bRprime*BR113+cRprime)</f>
        <v>-1.4253632478599338</v>
      </c>
      <c r="BS117" s="191">
        <f>KphToMps*(aRprime*BS113^2+bRprime*BS113+cRprime)</f>
        <v>-1.2549472744712724</v>
      </c>
      <c r="BT117" s="191">
        <f>KphToMps*(aRprime*BT113^2+bRprime*BT113+cRprime)</f>
        <v>-1.1280289264226415</v>
      </c>
      <c r="BU117" s="191">
        <f>KphToMps*(aRprime*BU113^2+bRprime*BU113+cRprime)</f>
        <v>-1.0318752155768809</v>
      </c>
      <c r="BV117" s="99" t="s">
        <v>0</v>
      </c>
      <c r="BX117" s="97"/>
      <c r="BY117" s="64"/>
      <c r="BZ117" s="65"/>
      <c r="CA117" s="98" t="s">
        <v>43</v>
      </c>
      <c r="CB117" s="191">
        <f>KphToMps*(aRprime*CB113^2+bRprime*CB113+cRprime)</f>
        <v>-1.6580210057640419</v>
      </c>
      <c r="CC117" s="191">
        <f>KphToMps*(aRprime*CC113^2+bRprime*CC113+cRprime)</f>
        <v>-1.6580210057640419</v>
      </c>
      <c r="CD117" s="191">
        <f>KphToMps*(aRprime*CD113^2+bRprime*CD113+cRprime)</f>
        <v>-1.6580210057640419</v>
      </c>
      <c r="CE117" s="191">
        <f>KphToMps*(aRprime*CE113^2+bRprime*CE113+cRprime)</f>
        <v>-1.6580210057640419</v>
      </c>
      <c r="CF117" s="191">
        <f>KphToMps*(aRprime*CF113^2+bRprime*CF113+cRprime)</f>
        <v>-1.6580210057640419</v>
      </c>
      <c r="CG117" s="191">
        <f>KphToMps*(aRprime*CG113^2+bRprime*CG113+cRprime)</f>
        <v>-1.6580210057640419</v>
      </c>
      <c r="CH117" s="191">
        <f>KphToMps*(aRprime*CH113^2+bRprime*CH113+cRprime)</f>
        <v>-1.6580210057640419</v>
      </c>
      <c r="CI117" s="191">
        <f>KphToMps*(aRprime*CI113^2+bRprime*CI113+cRprime)</f>
        <v>-1.6580210057640419</v>
      </c>
      <c r="CJ117" s="191">
        <f>KphToMps*(aRprime*CJ113^2+bRprime*CJ113+cRprime)</f>
        <v>-1.6580210057640419</v>
      </c>
      <c r="CK117" s="99" t="s">
        <v>0</v>
      </c>
      <c r="CL117" s="194"/>
      <c r="CM117" s="197">
        <v>114</v>
      </c>
      <c r="CN117" s="197">
        <f t="shared" si="127"/>
        <v>-0.69715188444702136</v>
      </c>
      <c r="CO117" s="197">
        <f t="shared" si="132"/>
        <v>61.515216922080725</v>
      </c>
      <c r="CP117" s="197">
        <f t="shared" si="133"/>
        <v>-1.3542773494546068</v>
      </c>
    </row>
    <row r="118" spans="31:94" ht="16" thickTop="1" x14ac:dyDescent="0.35">
      <c r="AE118" s="66" t="s">
        <v>16</v>
      </c>
      <c r="AF118" s="67"/>
      <c r="AG118" s="68"/>
      <c r="AH118" s="69"/>
      <c r="AI118" s="45" t="s">
        <v>34</v>
      </c>
      <c r="AJ118" s="51"/>
      <c r="AK118" s="51"/>
      <c r="AL118" s="51"/>
      <c r="AM118" s="70" t="s">
        <v>35</v>
      </c>
      <c r="AN118" s="51"/>
      <c r="AO118" s="51"/>
      <c r="AP118" s="51"/>
      <c r="AQ118" s="71" t="s">
        <v>36</v>
      </c>
      <c r="AR118" s="72" t="s">
        <v>37</v>
      </c>
      <c r="AT118" s="66" t="s">
        <v>16</v>
      </c>
      <c r="AU118" s="67"/>
      <c r="AV118" s="68"/>
      <c r="AW118" s="69"/>
      <c r="AX118" s="45" t="s">
        <v>34</v>
      </c>
      <c r="AY118" s="51"/>
      <c r="AZ118" s="51"/>
      <c r="BA118" s="51"/>
      <c r="BB118" s="70" t="s">
        <v>35</v>
      </c>
      <c r="BC118" s="51"/>
      <c r="BD118" s="51"/>
      <c r="BE118" s="51"/>
      <c r="BF118" s="71" t="s">
        <v>36</v>
      </c>
      <c r="BG118" s="72" t="s">
        <v>37</v>
      </c>
      <c r="BI118" s="66" t="s">
        <v>16</v>
      </c>
      <c r="BJ118" s="67"/>
      <c r="BK118" s="68"/>
      <c r="BL118" s="69"/>
      <c r="BM118" s="45" t="s">
        <v>34</v>
      </c>
      <c r="BN118" s="51"/>
      <c r="BO118" s="51"/>
      <c r="BP118" s="51"/>
      <c r="BQ118" s="70" t="s">
        <v>35</v>
      </c>
      <c r="BR118" s="51"/>
      <c r="BS118" s="51"/>
      <c r="BT118" s="51"/>
      <c r="BU118" s="71" t="s">
        <v>36</v>
      </c>
      <c r="BV118" s="72" t="s">
        <v>37</v>
      </c>
      <c r="BX118" s="66" t="s">
        <v>16</v>
      </c>
      <c r="BY118" s="67"/>
      <c r="BZ118" s="68"/>
      <c r="CA118" s="69"/>
      <c r="CB118" s="45" t="s">
        <v>34</v>
      </c>
      <c r="CC118" s="51"/>
      <c r="CD118" s="51"/>
      <c r="CE118" s="51"/>
      <c r="CF118" s="70" t="s">
        <v>35</v>
      </c>
      <c r="CG118" s="51"/>
      <c r="CH118" s="51"/>
      <c r="CI118" s="51"/>
      <c r="CJ118" s="71" t="s">
        <v>36</v>
      </c>
      <c r="CK118" s="72" t="s">
        <v>37</v>
      </c>
      <c r="CL118" s="193"/>
      <c r="CM118" s="197">
        <v>115</v>
      </c>
      <c r="CN118" s="197">
        <f t="shared" si="127"/>
        <v>-0.7081058785784341</v>
      </c>
      <c r="CO118" s="197">
        <f t="shared" si="132"/>
        <v>62.054824088063889</v>
      </c>
      <c r="CP118" s="197">
        <f t="shared" si="133"/>
        <v>-1.3755564228806187</v>
      </c>
    </row>
    <row r="119" spans="31:94" ht="15.5" x14ac:dyDescent="0.35">
      <c r="AE119" s="73" t="s">
        <v>8</v>
      </c>
      <c r="AF119" s="74"/>
      <c r="AG119" s="75"/>
      <c r="AH119" s="76"/>
      <c r="AI119" s="77">
        <v>40</v>
      </c>
      <c r="AJ119" s="78">
        <v>30</v>
      </c>
      <c r="AK119" s="78">
        <v>20</v>
      </c>
      <c r="AL119" s="78">
        <v>10</v>
      </c>
      <c r="AM119" s="78">
        <v>0</v>
      </c>
      <c r="AN119" s="78">
        <v>-10</v>
      </c>
      <c r="AO119" s="78">
        <v>-20</v>
      </c>
      <c r="AP119" s="78">
        <v>-30</v>
      </c>
      <c r="AQ119" s="79">
        <v>-40</v>
      </c>
      <c r="AR119" s="80" t="s">
        <v>8</v>
      </c>
      <c r="AT119" s="73" t="s">
        <v>8</v>
      </c>
      <c r="AU119" s="74"/>
      <c r="AV119" s="75"/>
      <c r="AW119" s="76"/>
      <c r="AX119" s="77">
        <v>40</v>
      </c>
      <c r="AY119" s="78">
        <v>30</v>
      </c>
      <c r="AZ119" s="78">
        <v>20</v>
      </c>
      <c r="BA119" s="78">
        <v>10</v>
      </c>
      <c r="BB119" s="78">
        <v>0</v>
      </c>
      <c r="BC119" s="78">
        <v>-10</v>
      </c>
      <c r="BD119" s="78">
        <v>-20</v>
      </c>
      <c r="BE119" s="78">
        <v>-30</v>
      </c>
      <c r="BF119" s="79">
        <v>-40</v>
      </c>
      <c r="BG119" s="80" t="s">
        <v>8</v>
      </c>
      <c r="BI119" s="73" t="s">
        <v>0</v>
      </c>
      <c r="BJ119" s="74"/>
      <c r="BK119" s="75"/>
      <c r="BL119" s="76"/>
      <c r="BM119" s="77">
        <v>80</v>
      </c>
      <c r="BN119" s="78">
        <v>60</v>
      </c>
      <c r="BO119" s="78">
        <v>40</v>
      </c>
      <c r="BP119" s="78">
        <v>20</v>
      </c>
      <c r="BQ119" s="78">
        <v>0</v>
      </c>
      <c r="BR119" s="78">
        <v>-20</v>
      </c>
      <c r="BS119" s="78">
        <v>-40</v>
      </c>
      <c r="BT119" s="78">
        <v>-60</v>
      </c>
      <c r="BU119" s="79">
        <v>-80</v>
      </c>
      <c r="BV119" s="80" t="s">
        <v>1</v>
      </c>
      <c r="BX119" s="73" t="s">
        <v>0</v>
      </c>
      <c r="BY119" s="74"/>
      <c r="BZ119" s="75"/>
      <c r="CA119" s="76"/>
      <c r="CB119" s="77">
        <v>80</v>
      </c>
      <c r="CC119" s="78">
        <v>60</v>
      </c>
      <c r="CD119" s="78">
        <v>40</v>
      </c>
      <c r="CE119" s="78">
        <v>20</v>
      </c>
      <c r="CF119" s="78">
        <v>0</v>
      </c>
      <c r="CG119" s="78">
        <v>-20</v>
      </c>
      <c r="CH119" s="78">
        <v>-40</v>
      </c>
      <c r="CI119" s="78">
        <v>-60</v>
      </c>
      <c r="CJ119" s="79">
        <v>-80</v>
      </c>
      <c r="CK119" s="80" t="s">
        <v>1</v>
      </c>
      <c r="CL119" s="193"/>
      <c r="CM119" s="197">
        <v>116</v>
      </c>
      <c r="CN119" s="197">
        <f t="shared" si="127"/>
        <v>-0.71955188102314849</v>
      </c>
      <c r="CO119" s="197">
        <f t="shared" si="132"/>
        <v>62.594431254047052</v>
      </c>
      <c r="CP119" s="197">
        <f t="shared" si="133"/>
        <v>-1.3977912646683222</v>
      </c>
    </row>
    <row r="120" spans="31:94" ht="15.5" x14ac:dyDescent="0.35">
      <c r="AE120" s="66">
        <v>8</v>
      </c>
      <c r="AF120" s="81" t="s">
        <v>38</v>
      </c>
      <c r="AG120" s="60">
        <v>5</v>
      </c>
      <c r="AH120" s="71" t="s">
        <v>39</v>
      </c>
      <c r="AI120" s="82">
        <f t="shared" ref="AI120:AQ125" si="262">ROUND($AG120*SmiToFt/AI$129+$AI$11+$AI$12,-2)</f>
        <v>4800</v>
      </c>
      <c r="AJ120" s="82">
        <f t="shared" si="262"/>
        <v>4200</v>
      </c>
      <c r="AK120" s="82">
        <f t="shared" si="262"/>
        <v>3700</v>
      </c>
      <c r="AL120" s="82">
        <f t="shared" si="262"/>
        <v>3300</v>
      </c>
      <c r="AM120" s="83">
        <f t="shared" si="262"/>
        <v>3000</v>
      </c>
      <c r="AN120" s="82">
        <f t="shared" si="262"/>
        <v>2800</v>
      </c>
      <c r="AO120" s="82">
        <f t="shared" si="262"/>
        <v>2700</v>
      </c>
      <c r="AP120" s="82">
        <f t="shared" si="262"/>
        <v>2500</v>
      </c>
      <c r="AQ120" s="82">
        <f t="shared" si="262"/>
        <v>2400</v>
      </c>
      <c r="AR120" s="72" t="s">
        <v>33</v>
      </c>
      <c r="AT120" s="66">
        <v>8</v>
      </c>
      <c r="AU120" s="81" t="s">
        <v>38</v>
      </c>
      <c r="AV120" s="60">
        <v>5</v>
      </c>
      <c r="AW120" s="71" t="s">
        <v>39</v>
      </c>
      <c r="AX120" s="82">
        <f t="shared" ref="AX120:BF125" si="263">ROUND($AV120*SmiToFt/AX$129+$AX$11+$AX$12,-2)</f>
        <v>3900</v>
      </c>
      <c r="AY120" s="82">
        <f t="shared" si="263"/>
        <v>3600</v>
      </c>
      <c r="AZ120" s="82">
        <f t="shared" si="263"/>
        <v>3300</v>
      </c>
      <c r="BA120" s="82">
        <f t="shared" si="263"/>
        <v>3200</v>
      </c>
      <c r="BB120" s="83">
        <f t="shared" si="263"/>
        <v>3000</v>
      </c>
      <c r="BC120" s="82">
        <f t="shared" si="263"/>
        <v>2900</v>
      </c>
      <c r="BD120" s="82">
        <f t="shared" si="263"/>
        <v>2800</v>
      </c>
      <c r="BE120" s="82">
        <f t="shared" si="263"/>
        <v>2700</v>
      </c>
      <c r="BF120" s="82">
        <f t="shared" si="263"/>
        <v>2700</v>
      </c>
      <c r="BG120" s="72" t="s">
        <v>33</v>
      </c>
      <c r="BI120" s="66">
        <v>4</v>
      </c>
      <c r="BJ120" s="81" t="s">
        <v>38</v>
      </c>
      <c r="BK120" s="60">
        <v>10</v>
      </c>
      <c r="BL120" s="71" t="s">
        <v>170</v>
      </c>
      <c r="BM120" s="82">
        <f t="shared" ref="BM120:BU125" si="264">ROUND($BK120*1000/BM$129+$BM$11+$BM$12,-1)</f>
        <v>1740</v>
      </c>
      <c r="BN120" s="82">
        <f t="shared" si="264"/>
        <v>1470</v>
      </c>
      <c r="BO120" s="82">
        <f t="shared" si="264"/>
        <v>1260</v>
      </c>
      <c r="BP120" s="82">
        <f t="shared" si="264"/>
        <v>1100</v>
      </c>
      <c r="BQ120" s="83">
        <f t="shared" si="264"/>
        <v>990</v>
      </c>
      <c r="BR120" s="82">
        <f t="shared" si="264"/>
        <v>910</v>
      </c>
      <c r="BS120" s="82">
        <f t="shared" si="264"/>
        <v>850</v>
      </c>
      <c r="BT120" s="82">
        <f t="shared" si="264"/>
        <v>800</v>
      </c>
      <c r="BU120" s="82">
        <f t="shared" si="264"/>
        <v>770</v>
      </c>
      <c r="BV120" s="72" t="s">
        <v>164</v>
      </c>
      <c r="BX120" s="66">
        <v>4</v>
      </c>
      <c r="BY120" s="81" t="s">
        <v>38</v>
      </c>
      <c r="BZ120" s="60">
        <v>10</v>
      </c>
      <c r="CA120" s="71" t="s">
        <v>170</v>
      </c>
      <c r="CB120" s="82">
        <f t="shared" ref="CB120:CJ125" si="265">ROUND($BZ120*1000/CB$129+$CB$11+$CB$12,-1)</f>
        <v>1380</v>
      </c>
      <c r="CC120" s="82">
        <f t="shared" si="265"/>
        <v>1220</v>
      </c>
      <c r="CD120" s="82">
        <f t="shared" si="265"/>
        <v>1120</v>
      </c>
      <c r="CE120" s="82">
        <f t="shared" si="265"/>
        <v>1050</v>
      </c>
      <c r="CF120" s="83">
        <f>ROUND($BZ120*1000/CF$129+$CB$11+$CB$12,-1)</f>
        <v>990</v>
      </c>
      <c r="CG120" s="82">
        <f t="shared" si="265"/>
        <v>940</v>
      </c>
      <c r="CH120" s="82">
        <f t="shared" si="265"/>
        <v>910</v>
      </c>
      <c r="CI120" s="82">
        <f t="shared" si="265"/>
        <v>880</v>
      </c>
      <c r="CJ120" s="82">
        <f t="shared" si="265"/>
        <v>860</v>
      </c>
      <c r="CK120" s="72" t="s">
        <v>164</v>
      </c>
      <c r="CL120" s="193"/>
      <c r="CM120" s="197">
        <v>117</v>
      </c>
      <c r="CN120" s="197">
        <f t="shared" si="127"/>
        <v>-0.73148989178116464</v>
      </c>
      <c r="CO120" s="197">
        <f t="shared" si="132"/>
        <v>63.134038420030222</v>
      </c>
      <c r="CP120" s="197">
        <f t="shared" si="133"/>
        <v>-1.4209818748177168</v>
      </c>
    </row>
    <row r="121" spans="31:94" ht="15.5" x14ac:dyDescent="0.35">
      <c r="AE121" s="84"/>
      <c r="AF121" s="53"/>
      <c r="AG121" s="85">
        <v>10</v>
      </c>
      <c r="AH121" s="86" t="s">
        <v>39</v>
      </c>
      <c r="AI121" s="82">
        <f t="shared" si="262"/>
        <v>7600</v>
      </c>
      <c r="AJ121" s="82">
        <f t="shared" si="262"/>
        <v>6400</v>
      </c>
      <c r="AK121" s="82">
        <f t="shared" si="262"/>
        <v>5400</v>
      </c>
      <c r="AL121" s="82">
        <f t="shared" si="262"/>
        <v>4700</v>
      </c>
      <c r="AM121" s="83">
        <f t="shared" si="262"/>
        <v>4100</v>
      </c>
      <c r="AN121" s="82">
        <f t="shared" si="262"/>
        <v>3700</v>
      </c>
      <c r="AO121" s="82">
        <f t="shared" si="262"/>
        <v>3400</v>
      </c>
      <c r="AP121" s="82">
        <f t="shared" si="262"/>
        <v>3200</v>
      </c>
      <c r="AQ121" s="82">
        <f t="shared" si="262"/>
        <v>3000</v>
      </c>
      <c r="AR121" s="87" t="s">
        <v>33</v>
      </c>
      <c r="AT121" s="84"/>
      <c r="AU121" s="53"/>
      <c r="AV121" s="85">
        <v>10</v>
      </c>
      <c r="AW121" s="86" t="s">
        <v>39</v>
      </c>
      <c r="AX121" s="82">
        <f t="shared" si="263"/>
        <v>5900</v>
      </c>
      <c r="AY121" s="82">
        <f t="shared" si="263"/>
        <v>5200</v>
      </c>
      <c r="AZ121" s="82">
        <f t="shared" si="263"/>
        <v>4800</v>
      </c>
      <c r="BA121" s="82">
        <f t="shared" si="263"/>
        <v>4400</v>
      </c>
      <c r="BB121" s="83">
        <f t="shared" si="263"/>
        <v>4100</v>
      </c>
      <c r="BC121" s="82">
        <f t="shared" si="263"/>
        <v>3900</v>
      </c>
      <c r="BD121" s="82">
        <f t="shared" si="263"/>
        <v>3700</v>
      </c>
      <c r="BE121" s="82">
        <f t="shared" si="263"/>
        <v>3600</v>
      </c>
      <c r="BF121" s="82">
        <f t="shared" si="263"/>
        <v>3400</v>
      </c>
      <c r="BG121" s="87" t="s">
        <v>33</v>
      </c>
      <c r="BI121" s="84"/>
      <c r="BJ121" s="53"/>
      <c r="BK121" s="85">
        <v>20</v>
      </c>
      <c r="BL121" s="86" t="s">
        <v>170</v>
      </c>
      <c r="BM121" s="82">
        <f t="shared" si="264"/>
        <v>2900</v>
      </c>
      <c r="BN121" s="82">
        <f t="shared" si="264"/>
        <v>2350</v>
      </c>
      <c r="BO121" s="82">
        <f t="shared" si="264"/>
        <v>1930</v>
      </c>
      <c r="BP121" s="82">
        <f t="shared" si="264"/>
        <v>1630</v>
      </c>
      <c r="BQ121" s="83">
        <f t="shared" si="264"/>
        <v>1400</v>
      </c>
      <c r="BR121" s="82">
        <f t="shared" si="264"/>
        <v>1230</v>
      </c>
      <c r="BS121" s="82">
        <f t="shared" si="264"/>
        <v>1110</v>
      </c>
      <c r="BT121" s="82">
        <f t="shared" si="264"/>
        <v>1020</v>
      </c>
      <c r="BU121" s="82">
        <f t="shared" si="264"/>
        <v>950</v>
      </c>
      <c r="BV121" s="87" t="s">
        <v>164</v>
      </c>
      <c r="BX121" s="84"/>
      <c r="BY121" s="53"/>
      <c r="BZ121" s="85">
        <v>20</v>
      </c>
      <c r="CA121" s="86" t="s">
        <v>170</v>
      </c>
      <c r="CB121" s="82">
        <f t="shared" si="265"/>
        <v>2170</v>
      </c>
      <c r="CC121" s="82">
        <f t="shared" si="265"/>
        <v>1870</v>
      </c>
      <c r="CD121" s="82">
        <f t="shared" si="265"/>
        <v>1660</v>
      </c>
      <c r="CE121" s="82">
        <f t="shared" si="265"/>
        <v>1510</v>
      </c>
      <c r="CF121" s="83">
        <f t="shared" ref="CF121:CF125" si="266">ROUND($BZ121*1000/CF$129+$CB$11+$CB$12,-1)</f>
        <v>1400</v>
      </c>
      <c r="CG121" s="82">
        <f t="shared" si="265"/>
        <v>1310</v>
      </c>
      <c r="CH121" s="82">
        <f t="shared" si="265"/>
        <v>1240</v>
      </c>
      <c r="CI121" s="82">
        <f t="shared" si="265"/>
        <v>1180</v>
      </c>
      <c r="CJ121" s="82">
        <f t="shared" si="265"/>
        <v>1130</v>
      </c>
      <c r="CK121" s="87" t="s">
        <v>164</v>
      </c>
      <c r="CL121" s="193"/>
      <c r="CM121" s="197">
        <v>118</v>
      </c>
      <c r="CN121" s="197">
        <f t="shared" si="127"/>
        <v>-0.7439199108524831</v>
      </c>
      <c r="CO121" s="197">
        <f t="shared" si="132"/>
        <v>63.673645586013386</v>
      </c>
      <c r="CP121" s="197">
        <f t="shared" si="133"/>
        <v>-1.4451282533288039</v>
      </c>
    </row>
    <row r="122" spans="31:94" ht="15.5" x14ac:dyDescent="0.35">
      <c r="AE122" s="84"/>
      <c r="AF122" s="53"/>
      <c r="AG122" s="85">
        <v>20</v>
      </c>
      <c r="AH122" s="86" t="s">
        <v>39</v>
      </c>
      <c r="AI122" s="82">
        <f t="shared" si="262"/>
        <v>13400</v>
      </c>
      <c r="AJ122" s="82">
        <f t="shared" si="262"/>
        <v>10900</v>
      </c>
      <c r="AK122" s="82">
        <f t="shared" si="262"/>
        <v>8900</v>
      </c>
      <c r="AL122" s="82">
        <f t="shared" si="262"/>
        <v>7400</v>
      </c>
      <c r="AM122" s="83">
        <f t="shared" si="262"/>
        <v>6300</v>
      </c>
      <c r="AN122" s="82">
        <f t="shared" si="262"/>
        <v>5500</v>
      </c>
      <c r="AO122" s="82">
        <f t="shared" si="262"/>
        <v>4900</v>
      </c>
      <c r="AP122" s="82">
        <f t="shared" si="262"/>
        <v>4400</v>
      </c>
      <c r="AQ122" s="82">
        <f t="shared" si="262"/>
        <v>4000</v>
      </c>
      <c r="AR122" s="87" t="s">
        <v>33</v>
      </c>
      <c r="AT122" s="84"/>
      <c r="AU122" s="53"/>
      <c r="AV122" s="85">
        <v>20</v>
      </c>
      <c r="AW122" s="86" t="s">
        <v>39</v>
      </c>
      <c r="AX122" s="82">
        <f t="shared" si="263"/>
        <v>9900</v>
      </c>
      <c r="AY122" s="82">
        <f t="shared" si="263"/>
        <v>8500</v>
      </c>
      <c r="AZ122" s="82">
        <f t="shared" si="263"/>
        <v>7600</v>
      </c>
      <c r="BA122" s="82">
        <f t="shared" si="263"/>
        <v>6900</v>
      </c>
      <c r="BB122" s="83">
        <f t="shared" si="263"/>
        <v>6300</v>
      </c>
      <c r="BC122" s="82">
        <f t="shared" si="263"/>
        <v>5900</v>
      </c>
      <c r="BD122" s="82">
        <f t="shared" si="263"/>
        <v>5500</v>
      </c>
      <c r="BE122" s="82">
        <f t="shared" si="263"/>
        <v>5200</v>
      </c>
      <c r="BF122" s="82">
        <f t="shared" si="263"/>
        <v>5000</v>
      </c>
      <c r="BG122" s="87" t="s">
        <v>33</v>
      </c>
      <c r="BI122" s="84"/>
      <c r="BJ122" s="53"/>
      <c r="BK122" s="85">
        <v>30</v>
      </c>
      <c r="BL122" s="86" t="s">
        <v>170</v>
      </c>
      <c r="BM122" s="82">
        <f t="shared" si="264"/>
        <v>4060</v>
      </c>
      <c r="BN122" s="82">
        <f t="shared" si="264"/>
        <v>3240</v>
      </c>
      <c r="BO122" s="82">
        <f t="shared" si="264"/>
        <v>2610</v>
      </c>
      <c r="BP122" s="82">
        <f t="shared" si="264"/>
        <v>2150</v>
      </c>
      <c r="BQ122" s="83">
        <f t="shared" si="264"/>
        <v>1810</v>
      </c>
      <c r="BR122" s="82">
        <f t="shared" si="264"/>
        <v>1560</v>
      </c>
      <c r="BS122" s="82">
        <f t="shared" si="264"/>
        <v>1380</v>
      </c>
      <c r="BT122" s="82">
        <f t="shared" si="264"/>
        <v>1240</v>
      </c>
      <c r="BU122" s="82">
        <f t="shared" si="264"/>
        <v>1140</v>
      </c>
      <c r="BV122" s="87" t="s">
        <v>164</v>
      </c>
      <c r="BX122" s="84"/>
      <c r="BY122" s="53"/>
      <c r="BZ122" s="85">
        <v>30</v>
      </c>
      <c r="CA122" s="86" t="s">
        <v>170</v>
      </c>
      <c r="CB122" s="82">
        <f t="shared" si="265"/>
        <v>2970</v>
      </c>
      <c r="CC122" s="82">
        <f t="shared" si="265"/>
        <v>2510</v>
      </c>
      <c r="CD122" s="82">
        <f t="shared" si="265"/>
        <v>2200</v>
      </c>
      <c r="CE122" s="82">
        <f t="shared" si="265"/>
        <v>1980</v>
      </c>
      <c r="CF122" s="83">
        <f t="shared" si="266"/>
        <v>1810</v>
      </c>
      <c r="CG122" s="82">
        <f t="shared" si="265"/>
        <v>1670</v>
      </c>
      <c r="CH122" s="82">
        <f t="shared" si="265"/>
        <v>1570</v>
      </c>
      <c r="CI122" s="82">
        <f t="shared" si="265"/>
        <v>1480</v>
      </c>
      <c r="CJ122" s="82">
        <f t="shared" si="265"/>
        <v>1410</v>
      </c>
      <c r="CK122" s="87" t="s">
        <v>164</v>
      </c>
      <c r="CL122" s="193"/>
      <c r="CM122" s="197">
        <v>119</v>
      </c>
      <c r="CN122" s="197">
        <f t="shared" si="127"/>
        <v>-0.75684193823710322</v>
      </c>
      <c r="CO122" s="197">
        <f t="shared" si="132"/>
        <v>64.213252751996549</v>
      </c>
      <c r="CP122" s="197">
        <f t="shared" si="133"/>
        <v>-1.470230400201582</v>
      </c>
    </row>
    <row r="123" spans="31:94" ht="15.5" x14ac:dyDescent="0.35">
      <c r="AE123" s="84"/>
      <c r="AF123" s="53"/>
      <c r="AG123" s="85">
        <v>30</v>
      </c>
      <c r="AH123" s="86" t="s">
        <v>39</v>
      </c>
      <c r="AI123" s="82">
        <f t="shared" si="262"/>
        <v>19100</v>
      </c>
      <c r="AJ123" s="82">
        <f t="shared" si="262"/>
        <v>15300</v>
      </c>
      <c r="AK123" s="82">
        <f t="shared" si="262"/>
        <v>12400</v>
      </c>
      <c r="AL123" s="82">
        <f t="shared" si="262"/>
        <v>10200</v>
      </c>
      <c r="AM123" s="83">
        <f t="shared" si="262"/>
        <v>8500</v>
      </c>
      <c r="AN123" s="82">
        <f t="shared" si="262"/>
        <v>7300</v>
      </c>
      <c r="AO123" s="82">
        <f t="shared" si="262"/>
        <v>6300</v>
      </c>
      <c r="AP123" s="82">
        <f t="shared" si="262"/>
        <v>5600</v>
      </c>
      <c r="AQ123" s="82">
        <f t="shared" si="262"/>
        <v>5100</v>
      </c>
      <c r="AR123" s="87" t="s">
        <v>33</v>
      </c>
      <c r="AT123" s="84"/>
      <c r="AU123" s="53"/>
      <c r="AV123" s="85">
        <v>30</v>
      </c>
      <c r="AW123" s="86" t="s">
        <v>39</v>
      </c>
      <c r="AX123" s="82">
        <f t="shared" si="263"/>
        <v>13800</v>
      </c>
      <c r="AY123" s="82">
        <f t="shared" si="263"/>
        <v>11800</v>
      </c>
      <c r="AZ123" s="82">
        <f t="shared" si="263"/>
        <v>10400</v>
      </c>
      <c r="BA123" s="82">
        <f t="shared" si="263"/>
        <v>9400</v>
      </c>
      <c r="BB123" s="83">
        <f t="shared" si="263"/>
        <v>8500</v>
      </c>
      <c r="BC123" s="82">
        <f t="shared" si="263"/>
        <v>7900</v>
      </c>
      <c r="BD123" s="82">
        <f t="shared" si="263"/>
        <v>7300</v>
      </c>
      <c r="BE123" s="82">
        <f t="shared" si="263"/>
        <v>6900</v>
      </c>
      <c r="BF123" s="82">
        <f t="shared" si="263"/>
        <v>6500</v>
      </c>
      <c r="BG123" s="87" t="s">
        <v>33</v>
      </c>
      <c r="BI123" s="84"/>
      <c r="BJ123" s="53"/>
      <c r="BK123" s="85">
        <v>40</v>
      </c>
      <c r="BL123" s="86" t="s">
        <v>170</v>
      </c>
      <c r="BM123" s="82">
        <f t="shared" si="264"/>
        <v>5220</v>
      </c>
      <c r="BN123" s="82">
        <f t="shared" si="264"/>
        <v>4120</v>
      </c>
      <c r="BO123" s="82">
        <f t="shared" si="264"/>
        <v>3290</v>
      </c>
      <c r="BP123" s="82">
        <f t="shared" si="264"/>
        <v>2670</v>
      </c>
      <c r="BQ123" s="83">
        <f t="shared" si="264"/>
        <v>2220</v>
      </c>
      <c r="BR123" s="82">
        <f t="shared" si="264"/>
        <v>1890</v>
      </c>
      <c r="BS123" s="82">
        <f t="shared" si="264"/>
        <v>1640</v>
      </c>
      <c r="BT123" s="82">
        <f t="shared" si="264"/>
        <v>1460</v>
      </c>
      <c r="BU123" s="82">
        <f t="shared" si="264"/>
        <v>1320</v>
      </c>
      <c r="BV123" s="87" t="s">
        <v>164</v>
      </c>
      <c r="BX123" s="84"/>
      <c r="BY123" s="53"/>
      <c r="BZ123" s="85">
        <v>40</v>
      </c>
      <c r="CA123" s="86" t="s">
        <v>170</v>
      </c>
      <c r="CB123" s="82">
        <f t="shared" si="265"/>
        <v>3760</v>
      </c>
      <c r="CC123" s="82">
        <f t="shared" si="265"/>
        <v>3160</v>
      </c>
      <c r="CD123" s="82">
        <f t="shared" si="265"/>
        <v>2740</v>
      </c>
      <c r="CE123" s="82">
        <f t="shared" si="265"/>
        <v>2440</v>
      </c>
      <c r="CF123" s="83">
        <f t="shared" si="266"/>
        <v>2220</v>
      </c>
      <c r="CG123" s="82">
        <f t="shared" si="265"/>
        <v>2040</v>
      </c>
      <c r="CH123" s="82">
        <f t="shared" si="265"/>
        <v>1900</v>
      </c>
      <c r="CI123" s="82">
        <f t="shared" si="265"/>
        <v>1780</v>
      </c>
      <c r="CJ123" s="82">
        <f t="shared" si="265"/>
        <v>1680</v>
      </c>
      <c r="CK123" s="87" t="s">
        <v>164</v>
      </c>
      <c r="CL123" s="193"/>
      <c r="CM123" s="197">
        <v>120</v>
      </c>
      <c r="CN123" s="197">
        <f t="shared" si="127"/>
        <v>-0.77025597393502365</v>
      </c>
      <c r="CO123" s="197">
        <f t="shared" si="132"/>
        <v>64.752859917979706</v>
      </c>
      <c r="CP123" s="197">
        <f t="shared" si="133"/>
        <v>-1.4962883154360487</v>
      </c>
    </row>
    <row r="124" spans="31:94" ht="15.5" x14ac:dyDescent="0.35">
      <c r="AE124" s="84"/>
      <c r="AF124" s="53"/>
      <c r="AG124" s="85">
        <v>40</v>
      </c>
      <c r="AH124" s="86" t="s">
        <v>39</v>
      </c>
      <c r="AI124" s="82">
        <f t="shared" si="262"/>
        <v>24800</v>
      </c>
      <c r="AJ124" s="82">
        <f t="shared" si="262"/>
        <v>19800</v>
      </c>
      <c r="AK124" s="82">
        <f t="shared" si="262"/>
        <v>15900</v>
      </c>
      <c r="AL124" s="82">
        <f t="shared" si="262"/>
        <v>13000</v>
      </c>
      <c r="AM124" s="83">
        <f t="shared" si="262"/>
        <v>10700</v>
      </c>
      <c r="AN124" s="82">
        <f t="shared" si="262"/>
        <v>9100</v>
      </c>
      <c r="AO124" s="82">
        <f t="shared" si="262"/>
        <v>7800</v>
      </c>
      <c r="AP124" s="82">
        <f t="shared" si="262"/>
        <v>6900</v>
      </c>
      <c r="AQ124" s="82">
        <f t="shared" si="262"/>
        <v>6100</v>
      </c>
      <c r="AR124" s="87" t="s">
        <v>33</v>
      </c>
      <c r="AT124" s="84"/>
      <c r="AU124" s="53"/>
      <c r="AV124" s="85">
        <v>40</v>
      </c>
      <c r="AW124" s="86" t="s">
        <v>39</v>
      </c>
      <c r="AX124" s="82">
        <f t="shared" si="263"/>
        <v>17800</v>
      </c>
      <c r="AY124" s="82">
        <f t="shared" si="263"/>
        <v>15200</v>
      </c>
      <c r="AZ124" s="82">
        <f t="shared" si="263"/>
        <v>13300</v>
      </c>
      <c r="BA124" s="82">
        <f t="shared" si="263"/>
        <v>11800</v>
      </c>
      <c r="BB124" s="83">
        <f t="shared" si="263"/>
        <v>10700</v>
      </c>
      <c r="BC124" s="82">
        <f t="shared" si="263"/>
        <v>9800</v>
      </c>
      <c r="BD124" s="82">
        <f t="shared" si="263"/>
        <v>9100</v>
      </c>
      <c r="BE124" s="82">
        <f t="shared" si="263"/>
        <v>8500</v>
      </c>
      <c r="BF124" s="82">
        <f t="shared" si="263"/>
        <v>8000</v>
      </c>
      <c r="BG124" s="87" t="s">
        <v>33</v>
      </c>
      <c r="BI124" s="84"/>
      <c r="BJ124" s="53"/>
      <c r="BK124" s="85">
        <v>50</v>
      </c>
      <c r="BL124" s="86" t="s">
        <v>170</v>
      </c>
      <c r="BM124" s="82">
        <f t="shared" si="264"/>
        <v>6370</v>
      </c>
      <c r="BN124" s="82">
        <f t="shared" si="264"/>
        <v>5010</v>
      </c>
      <c r="BO124" s="82">
        <f t="shared" si="264"/>
        <v>3970</v>
      </c>
      <c r="BP124" s="82">
        <f t="shared" si="264"/>
        <v>3190</v>
      </c>
      <c r="BQ124" s="83">
        <f t="shared" si="264"/>
        <v>2630</v>
      </c>
      <c r="BR124" s="82">
        <f t="shared" si="264"/>
        <v>2210</v>
      </c>
      <c r="BS124" s="82">
        <f t="shared" si="264"/>
        <v>1910</v>
      </c>
      <c r="BT124" s="82">
        <f t="shared" si="264"/>
        <v>1680</v>
      </c>
      <c r="BU124" s="82">
        <f t="shared" si="264"/>
        <v>1510</v>
      </c>
      <c r="BV124" s="87" t="s">
        <v>164</v>
      </c>
      <c r="BX124" s="84"/>
      <c r="BY124" s="53"/>
      <c r="BZ124" s="85">
        <v>50</v>
      </c>
      <c r="CA124" s="86" t="s">
        <v>170</v>
      </c>
      <c r="CB124" s="82">
        <f t="shared" si="265"/>
        <v>4560</v>
      </c>
      <c r="CC124" s="82">
        <f t="shared" si="265"/>
        <v>3800</v>
      </c>
      <c r="CD124" s="82">
        <f t="shared" si="265"/>
        <v>3280</v>
      </c>
      <c r="CE124" s="82">
        <f t="shared" si="265"/>
        <v>2910</v>
      </c>
      <c r="CF124" s="83">
        <f t="shared" si="266"/>
        <v>2630</v>
      </c>
      <c r="CG124" s="82">
        <f t="shared" si="265"/>
        <v>2400</v>
      </c>
      <c r="CH124" s="82">
        <f t="shared" si="265"/>
        <v>2230</v>
      </c>
      <c r="CI124" s="82">
        <f t="shared" si="265"/>
        <v>2080</v>
      </c>
      <c r="CJ124" s="82">
        <f t="shared" si="265"/>
        <v>1960</v>
      </c>
      <c r="CK124" s="87" t="s">
        <v>164</v>
      </c>
      <c r="CL124" s="193"/>
      <c r="CM124" s="197">
        <v>121</v>
      </c>
      <c r="CN124" s="197">
        <f t="shared" si="127"/>
        <v>-0.78416201794624774</v>
      </c>
      <c r="CO124" s="197">
        <f t="shared" si="132"/>
        <v>65.292467083962876</v>
      </c>
      <c r="CP124" s="197">
        <f t="shared" si="133"/>
        <v>-1.5233019990322103</v>
      </c>
    </row>
    <row r="125" spans="31:94" ht="15.5" x14ac:dyDescent="0.35">
      <c r="AE125" s="84"/>
      <c r="AF125" s="53"/>
      <c r="AG125" s="85">
        <v>50</v>
      </c>
      <c r="AH125" s="86" t="s">
        <v>39</v>
      </c>
      <c r="AI125" s="82">
        <f t="shared" si="262"/>
        <v>30600</v>
      </c>
      <c r="AJ125" s="82">
        <f t="shared" si="262"/>
        <v>24300</v>
      </c>
      <c r="AK125" s="82">
        <f t="shared" si="262"/>
        <v>19400</v>
      </c>
      <c r="AL125" s="82">
        <f t="shared" si="262"/>
        <v>15700</v>
      </c>
      <c r="AM125" s="83">
        <f t="shared" si="262"/>
        <v>12900</v>
      </c>
      <c r="AN125" s="82">
        <f t="shared" si="262"/>
        <v>10800</v>
      </c>
      <c r="AO125" s="82">
        <f t="shared" si="262"/>
        <v>9300</v>
      </c>
      <c r="AP125" s="82">
        <f t="shared" si="262"/>
        <v>8100</v>
      </c>
      <c r="AQ125" s="82">
        <f t="shared" si="262"/>
        <v>7200</v>
      </c>
      <c r="AR125" s="87" t="s">
        <v>33</v>
      </c>
      <c r="AT125" s="84"/>
      <c r="AU125" s="53"/>
      <c r="AV125" s="85">
        <v>50</v>
      </c>
      <c r="AW125" s="86" t="s">
        <v>39</v>
      </c>
      <c r="AX125" s="82">
        <f t="shared" si="263"/>
        <v>21800</v>
      </c>
      <c r="AY125" s="82">
        <f t="shared" si="263"/>
        <v>18500</v>
      </c>
      <c r="AZ125" s="82">
        <f t="shared" si="263"/>
        <v>16100</v>
      </c>
      <c r="BA125" s="82">
        <f t="shared" si="263"/>
        <v>14300</v>
      </c>
      <c r="BB125" s="83">
        <f t="shared" si="263"/>
        <v>12900</v>
      </c>
      <c r="BC125" s="82">
        <f t="shared" si="263"/>
        <v>11800</v>
      </c>
      <c r="BD125" s="82">
        <f t="shared" si="263"/>
        <v>10900</v>
      </c>
      <c r="BE125" s="82">
        <f t="shared" si="263"/>
        <v>10200</v>
      </c>
      <c r="BF125" s="82">
        <f t="shared" si="263"/>
        <v>9500</v>
      </c>
      <c r="BG125" s="87" t="s">
        <v>33</v>
      </c>
      <c r="BI125" s="84"/>
      <c r="BJ125" s="53"/>
      <c r="BK125" s="85">
        <v>100</v>
      </c>
      <c r="BL125" s="86" t="s">
        <v>170</v>
      </c>
      <c r="BM125" s="82">
        <f t="shared" si="264"/>
        <v>12170</v>
      </c>
      <c r="BN125" s="82">
        <f t="shared" si="264"/>
        <v>9430</v>
      </c>
      <c r="BO125" s="82">
        <f t="shared" si="264"/>
        <v>7350</v>
      </c>
      <c r="BP125" s="82">
        <f t="shared" si="264"/>
        <v>5810</v>
      </c>
      <c r="BQ125" s="83">
        <f t="shared" si="264"/>
        <v>4670</v>
      </c>
      <c r="BR125" s="82">
        <f t="shared" si="264"/>
        <v>3840</v>
      </c>
      <c r="BS125" s="82">
        <f t="shared" si="264"/>
        <v>3240</v>
      </c>
      <c r="BT125" s="82">
        <f t="shared" si="264"/>
        <v>2780</v>
      </c>
      <c r="BU125" s="82">
        <f t="shared" si="264"/>
        <v>2440</v>
      </c>
      <c r="BV125" s="87" t="s">
        <v>164</v>
      </c>
      <c r="BX125" s="84"/>
      <c r="BY125" s="53"/>
      <c r="BZ125" s="85">
        <v>100</v>
      </c>
      <c r="CA125" s="86" t="s">
        <v>170</v>
      </c>
      <c r="CB125" s="82">
        <f t="shared" si="265"/>
        <v>8540</v>
      </c>
      <c r="CC125" s="82">
        <f t="shared" si="265"/>
        <v>7020</v>
      </c>
      <c r="CD125" s="82">
        <f t="shared" si="265"/>
        <v>5990</v>
      </c>
      <c r="CE125" s="82">
        <f t="shared" si="265"/>
        <v>5240</v>
      </c>
      <c r="CF125" s="83">
        <f t="shared" si="266"/>
        <v>4670</v>
      </c>
      <c r="CG125" s="82">
        <f t="shared" si="265"/>
        <v>4230</v>
      </c>
      <c r="CH125" s="82">
        <f t="shared" si="265"/>
        <v>3870</v>
      </c>
      <c r="CI125" s="82">
        <f t="shared" si="265"/>
        <v>3580</v>
      </c>
      <c r="CJ125" s="82">
        <f t="shared" si="265"/>
        <v>3330</v>
      </c>
      <c r="CK125" s="87" t="s">
        <v>164</v>
      </c>
      <c r="CL125" s="193"/>
      <c r="CM125" s="197">
        <v>122</v>
      </c>
      <c r="CN125" s="197">
        <f t="shared" si="127"/>
        <v>-0.79856007027077314</v>
      </c>
      <c r="CO125" s="197">
        <f t="shared" si="132"/>
        <v>65.832074249946047</v>
      </c>
      <c r="CP125" s="197">
        <f t="shared" si="133"/>
        <v>-1.5512714509900623</v>
      </c>
    </row>
    <row r="126" spans="31:94" ht="15.5" x14ac:dyDescent="0.35">
      <c r="AE126" s="88"/>
      <c r="AF126" s="89"/>
      <c r="AG126" s="61"/>
      <c r="AH126" s="90" t="s">
        <v>40</v>
      </c>
      <c r="AI126" s="91">
        <f>KphToKts*(aRprime*AI106*KtsToKph-SQRT(aRprime*(aRprime*(AI106*KtsToKph)^2-$AE120*KtsToKph+bRprime*AI106*KtsToKph+cRprime)))/aRprime</f>
        <v>115.21396416393972</v>
      </c>
      <c r="AJ126" s="91">
        <f>KphToKts*(aRprime*AJ106*KtsToKph-SQRT(aRprime*(aRprime*(AJ106*KtsToKph)^2-$AE120*KtsToKph+bRprime*AJ106*KtsToKph+cRprime)))/aRprime</f>
        <v>107.15287595660921</v>
      </c>
      <c r="AK126" s="91">
        <f>KphToKts*(aRprime*AK106*KtsToKph-SQRT(aRprime*(aRprime*(AK106*KtsToKph)^2-$AE120*KtsToKph+bRprime*AK106*KtsToKph+cRprime)))/aRprime</f>
        <v>100.29939060477014</v>
      </c>
      <c r="AL126" s="91">
        <f>KphToKts*(aRprime*AL106*KtsToKph-SQRT(aRprime*(aRprime*(AL106*KtsToKph)^2-$AE120*KtsToKph+bRprime*AL106*KtsToKph+cRprime)))/aRprime</f>
        <v>94.51874345149109</v>
      </c>
      <c r="AM126" s="178">
        <f>KphToKts*(aRprime*AM119*KtsToKph-SQRT(aRprime*(aRprime*(AM119*KtsToKph)^2-$AE120*KtsToKph+bRprime*AM119*KtsToKph+cRprime)))/aRprime</f>
        <v>89.659599919587464</v>
      </c>
      <c r="AN126" s="91">
        <f>KphToKts*(aRprime*AN106*KtsToKph-SQRT(aRprime*(aRprime*(AN106*KtsToKph)^2-$AE120*KtsToKph+bRprime*AN106*KtsToKph+cRprime)))/aRprime</f>
        <v>85.573373493154492</v>
      </c>
      <c r="AO126" s="91">
        <f>KphToKts*(aRprime*AO106*KtsToKph-SQRT(aRprime*(aRprime*(AO106*KtsToKph)^2-$AE120*KtsToKph+bRprime*AO106*KtsToKph+cRprime)))/aRprime</f>
        <v>82.125881068334124</v>
      </c>
      <c r="AP126" s="91">
        <f>KphToKts*(aRprime*AP106*KtsToKph-SQRT(aRprime*(aRprime*(AP106*KtsToKph)^2-$AE120*KtsToKph+bRprime*AP106*KtsToKph+cRprime)))/aRprime</f>
        <v>79.202204405886647</v>
      </c>
      <c r="AQ126" s="91">
        <f>KphToKts*(aRprime*AQ106*KtsToKph-SQRT(aRprime*(aRprime*(AQ106*KtsToKph)^2-$AE120*KtsToKph+bRprime*AQ106*KtsToKph+cRprime)))/aRprime</f>
        <v>76.707100513321663</v>
      </c>
      <c r="AR126" s="72" t="s">
        <v>8</v>
      </c>
      <c r="AT126" s="88"/>
      <c r="AU126" s="89"/>
      <c r="AV126" s="61"/>
      <c r="AW126" s="90" t="s">
        <v>40</v>
      </c>
      <c r="AX126" s="177">
        <f t="shared" ref="AX126:BF126" si="267">KphToKts*(-1*SQRT(aRprime*(-$AT120*KtsToKph+cRprime)))/aRprime</f>
        <v>89.659599919587464</v>
      </c>
      <c r="AY126" s="177">
        <f t="shared" si="267"/>
        <v>89.659599919587464</v>
      </c>
      <c r="AZ126" s="177">
        <f t="shared" si="267"/>
        <v>89.659599919587464</v>
      </c>
      <c r="BA126" s="177">
        <f t="shared" si="267"/>
        <v>89.659599919587464</v>
      </c>
      <c r="BB126" s="178">
        <f t="shared" si="267"/>
        <v>89.659599919587464</v>
      </c>
      <c r="BC126" s="177">
        <f t="shared" si="267"/>
        <v>89.659599919587464</v>
      </c>
      <c r="BD126" s="177">
        <f t="shared" si="267"/>
        <v>89.659599919587464</v>
      </c>
      <c r="BE126" s="177">
        <f t="shared" si="267"/>
        <v>89.659599919587464</v>
      </c>
      <c r="BF126" s="177">
        <f t="shared" si="267"/>
        <v>89.659599919587464</v>
      </c>
      <c r="BG126" s="72" t="s">
        <v>8</v>
      </c>
      <c r="BI126" s="88"/>
      <c r="BJ126" s="89"/>
      <c r="BK126" s="61"/>
      <c r="BL126" s="90" t="s">
        <v>40</v>
      </c>
      <c r="BM126" s="177">
        <f t="shared" ref="BM126:BU126" si="268">(aRprime*BM119-SQRT(aRprime*(aRprime*BM119^2-$BI120*MpsToKph+bRprime*BM119+cRprime)))/aRprime</f>
        <v>217.00310082955932</v>
      </c>
      <c r="BN126" s="177">
        <f t="shared" si="268"/>
        <v>200.21161170169893</v>
      </c>
      <c r="BO126" s="177">
        <f t="shared" si="268"/>
        <v>186.11208873690634</v>
      </c>
      <c r="BP126" s="177">
        <f t="shared" si="268"/>
        <v>174.39620751215099</v>
      </c>
      <c r="BQ126" s="178">
        <f t="shared" si="268"/>
        <v>164.70469123011887</v>
      </c>
      <c r="BR126" s="177">
        <f t="shared" si="268"/>
        <v>156.68356384305358</v>
      </c>
      <c r="BS126" s="177">
        <f t="shared" si="268"/>
        <v>150.01717856908618</v>
      </c>
      <c r="BT126" s="177">
        <f t="shared" si="268"/>
        <v>144.44063825577729</v>
      </c>
      <c r="BU126" s="177">
        <f t="shared" si="268"/>
        <v>139.73943885771436</v>
      </c>
      <c r="BV126" s="72" t="s">
        <v>1</v>
      </c>
      <c r="BX126" s="88"/>
      <c r="BY126" s="89"/>
      <c r="BZ126" s="61"/>
      <c r="CA126" s="90" t="s">
        <v>40</v>
      </c>
      <c r="CB126" s="177">
        <f t="shared" ref="CB126:CJ126" si="269">(-1*SQRT(aRprime*(-$BX120*MpsToKph+cRprime)))/aRprime</f>
        <v>164.70469123011887</v>
      </c>
      <c r="CC126" s="177">
        <f t="shared" si="269"/>
        <v>164.70469123011887</v>
      </c>
      <c r="CD126" s="177">
        <f t="shared" si="269"/>
        <v>164.70469123011887</v>
      </c>
      <c r="CE126" s="177">
        <f t="shared" si="269"/>
        <v>164.70469123011887</v>
      </c>
      <c r="CF126" s="178">
        <f t="shared" si="269"/>
        <v>164.70469123011887</v>
      </c>
      <c r="CG126" s="177">
        <f t="shared" si="269"/>
        <v>164.70469123011887</v>
      </c>
      <c r="CH126" s="177">
        <f t="shared" si="269"/>
        <v>164.70469123011887</v>
      </c>
      <c r="CI126" s="177">
        <f t="shared" si="269"/>
        <v>164.70469123011887</v>
      </c>
      <c r="CJ126" s="177">
        <f t="shared" si="269"/>
        <v>164.70469123011887</v>
      </c>
      <c r="CK126" s="72" t="s">
        <v>1</v>
      </c>
      <c r="CL126" s="193"/>
      <c r="CM126" s="197">
        <v>123</v>
      </c>
      <c r="CN126" s="197">
        <f t="shared" si="127"/>
        <v>-0.81345013090860019</v>
      </c>
      <c r="CO126" s="197">
        <f t="shared" si="132"/>
        <v>66.371681415929203</v>
      </c>
      <c r="CP126" s="197">
        <f t="shared" si="133"/>
        <v>-1.5801966713096054</v>
      </c>
    </row>
    <row r="127" spans="31:94" ht="15.5" x14ac:dyDescent="0.35">
      <c r="AE127" s="84"/>
      <c r="AF127" s="62"/>
      <c r="AG127" s="63"/>
      <c r="AH127" s="92" t="s">
        <v>41</v>
      </c>
      <c r="AI127" s="190">
        <f t="shared" ref="AI127:AQ127" si="270">KphToKts*($AE120*KtsToKph-AI119*KtsToKph*(2*aRprime*AI126*KtsToKph+bRprime))</f>
        <v>16.592474285530901</v>
      </c>
      <c r="AJ127" s="190">
        <f t="shared" si="270"/>
        <v>13.650553764271763</v>
      </c>
      <c r="AK127" s="190">
        <f t="shared" si="270"/>
        <v>11.317112301028592</v>
      </c>
      <c r="AL127" s="190">
        <f t="shared" si="270"/>
        <v>9.4688096851984582</v>
      </c>
      <c r="AM127" s="190">
        <f t="shared" si="270"/>
        <v>8</v>
      </c>
      <c r="AN127" s="190">
        <f t="shared" si="270"/>
        <v>6.8248170118702323</v>
      </c>
      <c r="AO127" s="190">
        <f t="shared" si="270"/>
        <v>5.8759579921361924</v>
      </c>
      <c r="AP127" s="190">
        <f t="shared" si="270"/>
        <v>5.1018410745717455</v>
      </c>
      <c r="AQ127" s="190">
        <f t="shared" si="270"/>
        <v>4.4633895818626268</v>
      </c>
      <c r="AR127" s="93" t="s">
        <v>8</v>
      </c>
      <c r="AT127" s="84"/>
      <c r="AU127" s="62"/>
      <c r="AV127" s="63"/>
      <c r="AW127" s="92" t="s">
        <v>41</v>
      </c>
      <c r="AX127" s="207">
        <f t="shared" ref="AX127:BF127" si="271">$AT120</f>
        <v>8</v>
      </c>
      <c r="AY127" s="207">
        <f t="shared" si="271"/>
        <v>8</v>
      </c>
      <c r="AZ127" s="207">
        <f t="shared" si="271"/>
        <v>8</v>
      </c>
      <c r="BA127" s="207">
        <f t="shared" si="271"/>
        <v>8</v>
      </c>
      <c r="BB127" s="207">
        <f t="shared" si="271"/>
        <v>8</v>
      </c>
      <c r="BC127" s="207">
        <f t="shared" si="271"/>
        <v>8</v>
      </c>
      <c r="BD127" s="207">
        <f t="shared" si="271"/>
        <v>8</v>
      </c>
      <c r="BE127" s="207">
        <f t="shared" si="271"/>
        <v>8</v>
      </c>
      <c r="BF127" s="207">
        <f t="shared" si="271"/>
        <v>8</v>
      </c>
      <c r="BG127" s="93" t="s">
        <v>8</v>
      </c>
      <c r="BI127" s="84"/>
      <c r="BJ127" s="62"/>
      <c r="BK127" s="63"/>
      <c r="BL127" s="92" t="s">
        <v>41</v>
      </c>
      <c r="BM127" s="190">
        <f t="shared" ref="BM127:BU127" si="272">KphToMps*($BI120*MpsToKph-BM119*(2*aRprime*BM126+bRprime))</f>
        <v>8.9109097503016894</v>
      </c>
      <c r="BN127" s="190">
        <f t="shared" si="272"/>
        <v>7.1874891781087946</v>
      </c>
      <c r="BO127" s="190">
        <f t="shared" si="272"/>
        <v>5.8475094849151432</v>
      </c>
      <c r="BP127" s="190">
        <f t="shared" si="272"/>
        <v>4.8084685232528441</v>
      </c>
      <c r="BQ127" s="190">
        <f t="shared" si="272"/>
        <v>4</v>
      </c>
      <c r="BR127" s="190">
        <f t="shared" si="272"/>
        <v>3.3658268354621352</v>
      </c>
      <c r="BS127" s="190">
        <f t="shared" si="272"/>
        <v>2.8628503499028635</v>
      </c>
      <c r="BT127" s="190">
        <f t="shared" si="272"/>
        <v>2.4588977764709403</v>
      </c>
      <c r="BU127" s="190">
        <f t="shared" si="272"/>
        <v>2.1302393702015072</v>
      </c>
      <c r="BV127" s="93" t="s">
        <v>0</v>
      </c>
      <c r="BX127" s="84"/>
      <c r="BY127" s="62"/>
      <c r="BZ127" s="63"/>
      <c r="CA127" s="92" t="s">
        <v>41</v>
      </c>
      <c r="CB127" s="207">
        <f t="shared" ref="CB127:CE127" si="273">$BX120</f>
        <v>4</v>
      </c>
      <c r="CC127" s="207">
        <f t="shared" si="273"/>
        <v>4</v>
      </c>
      <c r="CD127" s="207">
        <f t="shared" si="273"/>
        <v>4</v>
      </c>
      <c r="CE127" s="207">
        <f t="shared" si="273"/>
        <v>4</v>
      </c>
      <c r="CF127" s="207">
        <f>$BX120</f>
        <v>4</v>
      </c>
      <c r="CG127" s="207">
        <f t="shared" ref="CG127:CJ127" si="274">$BX120</f>
        <v>4</v>
      </c>
      <c r="CH127" s="207">
        <f t="shared" si="274"/>
        <v>4</v>
      </c>
      <c r="CI127" s="207">
        <f t="shared" si="274"/>
        <v>4</v>
      </c>
      <c r="CJ127" s="207">
        <f t="shared" si="274"/>
        <v>4</v>
      </c>
      <c r="CK127" s="93" t="s">
        <v>0</v>
      </c>
      <c r="CL127" s="193"/>
      <c r="CM127" s="197">
        <v>124</v>
      </c>
      <c r="CN127" s="197">
        <f t="shared" si="127"/>
        <v>-0.82883219985972956</v>
      </c>
      <c r="CO127" s="197">
        <f t="shared" si="132"/>
        <v>66.911288581912373</v>
      </c>
      <c r="CP127" s="197">
        <f t="shared" si="133"/>
        <v>-1.6100776599908408</v>
      </c>
    </row>
    <row r="128" spans="31:94" ht="15.5" x14ac:dyDescent="0.35">
      <c r="AE128" s="94"/>
      <c r="AF128" s="89"/>
      <c r="AG128" s="61"/>
      <c r="AH128" s="71" t="s">
        <v>49</v>
      </c>
      <c r="AI128" s="95">
        <f t="shared" ref="AI128:AL128" si="275">AI126-AI119</f>
        <v>75.213964163939721</v>
      </c>
      <c r="AJ128" s="95">
        <f t="shared" si="275"/>
        <v>77.152875956609208</v>
      </c>
      <c r="AK128" s="95">
        <f t="shared" si="275"/>
        <v>80.299390604770139</v>
      </c>
      <c r="AL128" s="95">
        <f t="shared" si="275"/>
        <v>84.51874345149109</v>
      </c>
      <c r="AM128" s="95">
        <f>AM126-AM119</f>
        <v>89.659599919587464</v>
      </c>
      <c r="AN128" s="95">
        <f t="shared" ref="AN128:AQ128" si="276">AN126-AN119</f>
        <v>95.573373493154492</v>
      </c>
      <c r="AO128" s="95">
        <f t="shared" si="276"/>
        <v>102.12588106833412</v>
      </c>
      <c r="AP128" s="95">
        <f t="shared" si="276"/>
        <v>109.20220440588665</v>
      </c>
      <c r="AQ128" s="95">
        <f t="shared" si="276"/>
        <v>116.70710051332166</v>
      </c>
      <c r="AR128" s="96" t="s">
        <v>8</v>
      </c>
      <c r="AT128" s="94"/>
      <c r="AU128" s="89"/>
      <c r="AV128" s="61"/>
      <c r="AW128" s="71" t="s">
        <v>49</v>
      </c>
      <c r="AX128" s="95">
        <f t="shared" ref="AX128:BA128" si="277">AX126-AX119</f>
        <v>49.659599919587464</v>
      </c>
      <c r="AY128" s="95">
        <f t="shared" si="277"/>
        <v>59.659599919587464</v>
      </c>
      <c r="AZ128" s="95">
        <f t="shared" si="277"/>
        <v>69.659599919587464</v>
      </c>
      <c r="BA128" s="95">
        <f t="shared" si="277"/>
        <v>79.659599919587464</v>
      </c>
      <c r="BB128" s="95">
        <f>BB126-BB119</f>
        <v>89.659599919587464</v>
      </c>
      <c r="BC128" s="95">
        <f t="shared" ref="BC128:BF128" si="278">BC126-BC119</f>
        <v>99.659599919587464</v>
      </c>
      <c r="BD128" s="95">
        <f t="shared" si="278"/>
        <v>109.65959991958746</v>
      </c>
      <c r="BE128" s="95">
        <f t="shared" si="278"/>
        <v>119.65959991958746</v>
      </c>
      <c r="BF128" s="95">
        <f t="shared" si="278"/>
        <v>129.65959991958746</v>
      </c>
      <c r="BG128" s="96" t="s">
        <v>8</v>
      </c>
      <c r="BI128" s="94"/>
      <c r="BJ128" s="89"/>
      <c r="BK128" s="61"/>
      <c r="BL128" s="71" t="s">
        <v>49</v>
      </c>
      <c r="BM128" s="95">
        <f t="shared" ref="BM128:BP128" si="279">BM126-BM119</f>
        <v>137.00310082955932</v>
      </c>
      <c r="BN128" s="95">
        <f t="shared" si="279"/>
        <v>140.21161170169893</v>
      </c>
      <c r="BO128" s="95">
        <f t="shared" si="279"/>
        <v>146.11208873690634</v>
      </c>
      <c r="BP128" s="95">
        <f t="shared" si="279"/>
        <v>154.39620751215099</v>
      </c>
      <c r="BQ128" s="95">
        <f>BQ126-BQ119</f>
        <v>164.70469123011887</v>
      </c>
      <c r="BR128" s="95">
        <f t="shared" ref="BR128:BU128" si="280">BR126-BR119</f>
        <v>176.68356384305358</v>
      </c>
      <c r="BS128" s="95">
        <f t="shared" si="280"/>
        <v>190.01717856908618</v>
      </c>
      <c r="BT128" s="95">
        <f t="shared" si="280"/>
        <v>204.44063825577729</v>
      </c>
      <c r="BU128" s="95">
        <f t="shared" si="280"/>
        <v>219.73943885771436</v>
      </c>
      <c r="BV128" s="96" t="s">
        <v>1</v>
      </c>
      <c r="BX128" s="94"/>
      <c r="BY128" s="89"/>
      <c r="BZ128" s="61"/>
      <c r="CA128" s="71" t="s">
        <v>49</v>
      </c>
      <c r="CB128" s="95">
        <f t="shared" ref="CB128:CE128" si="281">CB126-CB119</f>
        <v>84.704691230118868</v>
      </c>
      <c r="CC128" s="95">
        <f t="shared" si="281"/>
        <v>104.70469123011887</v>
      </c>
      <c r="CD128" s="95">
        <f t="shared" si="281"/>
        <v>124.70469123011887</v>
      </c>
      <c r="CE128" s="95">
        <f t="shared" si="281"/>
        <v>144.70469123011887</v>
      </c>
      <c r="CF128" s="95">
        <f>CF126-CF119</f>
        <v>164.70469123011887</v>
      </c>
      <c r="CG128" s="95">
        <f t="shared" ref="CG128:CJ128" si="282">CG126-CG119</f>
        <v>184.70469123011887</v>
      </c>
      <c r="CH128" s="95">
        <f t="shared" si="282"/>
        <v>204.70469123011887</v>
      </c>
      <c r="CI128" s="95">
        <f t="shared" si="282"/>
        <v>224.70469123011887</v>
      </c>
      <c r="CJ128" s="95">
        <f t="shared" si="282"/>
        <v>244.70469123011887</v>
      </c>
      <c r="CK128" s="96" t="s">
        <v>1</v>
      </c>
      <c r="CL128" s="194"/>
      <c r="CM128" s="197">
        <v>125</v>
      </c>
      <c r="CN128" s="197">
        <f t="shared" si="127"/>
        <v>-0.84470627712416069</v>
      </c>
      <c r="CO128" s="197">
        <f t="shared" si="132"/>
        <v>67.45089574789553</v>
      </c>
      <c r="CP128" s="197">
        <f t="shared" si="133"/>
        <v>-1.6409144170337679</v>
      </c>
    </row>
    <row r="129" spans="31:94" ht="15.5" x14ac:dyDescent="0.35">
      <c r="AE129" s="84"/>
      <c r="AF129" s="89"/>
      <c r="AG129" s="61"/>
      <c r="AH129" s="71" t="s">
        <v>42</v>
      </c>
      <c r="AI129" s="95">
        <f t="shared" ref="AI129" si="283">-AI128/AI130</f>
        <v>9.2209556321538564</v>
      </c>
      <c r="AJ129" s="95">
        <f t="shared" ref="AJ129" si="284">-AJ128/AJ130</f>
        <v>11.81173673650777</v>
      </c>
      <c r="AK129" s="95">
        <f t="shared" ref="AK129" si="285">-AK128/AK130</f>
        <v>15.099249331819275</v>
      </c>
      <c r="AL129" s="95">
        <f t="shared" ref="AL129" si="286">-AL128/AL130</f>
        <v>19.147034836085808</v>
      </c>
      <c r="AM129" s="95">
        <f>-AM128/AM130</f>
        <v>23.978088356440466</v>
      </c>
      <c r="AN129" s="95">
        <f t="shared" ref="AN129" si="287">-AN128/AN130</f>
        <v>29.574444292283758</v>
      </c>
      <c r="AO129" s="95">
        <f t="shared" ref="AO129" si="288">-AO128/AO130</f>
        <v>35.884219411801389</v>
      </c>
      <c r="AP129" s="95">
        <f t="shared" ref="AP129" si="289">-AP128/AP130</f>
        <v>42.832600176728178</v>
      </c>
      <c r="AQ129" s="95">
        <f t="shared" ref="AQ129" si="290">-AQ128/AQ130</f>
        <v>50.333234075182183</v>
      </c>
      <c r="AR129" s="96"/>
      <c r="AT129" s="84"/>
      <c r="AU129" s="89"/>
      <c r="AV129" s="61"/>
      <c r="AW129" s="71" t="s">
        <v>42</v>
      </c>
      <c r="AX129" s="95">
        <f t="shared" ref="AX129:BA129" si="291">-AX128/AX130</f>
        <v>13.280700289598514</v>
      </c>
      <c r="AY129" s="95">
        <f t="shared" si="291"/>
        <v>15.955047306309002</v>
      </c>
      <c r="AZ129" s="95">
        <f t="shared" si="291"/>
        <v>18.62939432301949</v>
      </c>
      <c r="BA129" s="95">
        <f t="shared" si="291"/>
        <v>21.303741339729978</v>
      </c>
      <c r="BB129" s="95">
        <f>-BB128/BB130</f>
        <v>23.978088356440466</v>
      </c>
      <c r="BC129" s="95">
        <f t="shared" ref="BC129:BF129" si="292">-BC128/BC130</f>
        <v>26.652435373150954</v>
      </c>
      <c r="BD129" s="95">
        <f t="shared" si="292"/>
        <v>29.326782389861442</v>
      </c>
      <c r="BE129" s="95">
        <f t="shared" si="292"/>
        <v>32.001129406571934</v>
      </c>
      <c r="BF129" s="95">
        <f t="shared" si="292"/>
        <v>34.675476423282419</v>
      </c>
      <c r="BG129" s="96"/>
      <c r="BI129" s="84"/>
      <c r="BJ129" s="89"/>
      <c r="BK129" s="61"/>
      <c r="BL129" s="71" t="s">
        <v>42</v>
      </c>
      <c r="BM129" s="95">
        <f>-BM128/BM130/MpsToKph</f>
        <v>8.6293317311625817</v>
      </c>
      <c r="BN129" s="95">
        <f>-BN128/BN130/MpsToKph</f>
        <v>11.293380881408106</v>
      </c>
      <c r="BO129" s="95">
        <f>-BO128/BO130/MpsToKph</f>
        <v>14.76638544838651</v>
      </c>
      <c r="BP129" s="95">
        <f>-BP128/BP130/MpsToKph</f>
        <v>19.135901307757379</v>
      </c>
      <c r="BQ129" s="95">
        <f>-BQ128/BQ130/MpsToKph</f>
        <v>24.432418547666767</v>
      </c>
      <c r="BR129" s="95">
        <f>-BR128/BR130/MpsToKph</f>
        <v>30.628311482436935</v>
      </c>
      <c r="BS129" s="95">
        <f>-BS128/BS130/MpsToKph</f>
        <v>37.649402337422949</v>
      </c>
      <c r="BT129" s="95">
        <f>-BT128/BT130/MpsToKph</f>
        <v>45.392565046724656</v>
      </c>
      <c r="BU129" s="95">
        <f>-BU128/BU130/MpsToKph</f>
        <v>53.743016667066364</v>
      </c>
      <c r="BV129" s="96"/>
      <c r="BX129" s="84"/>
      <c r="BY129" s="89"/>
      <c r="BZ129" s="61"/>
      <c r="CA129" s="71" t="s">
        <v>42</v>
      </c>
      <c r="CB129" s="95">
        <f>-CB128/CB130/MpsToKph</f>
        <v>12.565158002656178</v>
      </c>
      <c r="CC129" s="95">
        <f>-CC128/CC130/MpsToKph</f>
        <v>15.531973138908825</v>
      </c>
      <c r="CD129" s="95">
        <f>-CD128/CD130/MpsToKph</f>
        <v>18.498788275161473</v>
      </c>
      <c r="CE129" s="95">
        <f>-CE128/CE130/MpsToKph</f>
        <v>21.465603411414122</v>
      </c>
      <c r="CF129" s="95">
        <f>-CF128/CF130/MpsToKph</f>
        <v>24.432418547666767</v>
      </c>
      <c r="CG129" s="95">
        <f>-CG128/CG130/MpsToKph</f>
        <v>27.399233683919416</v>
      </c>
      <c r="CH129" s="95">
        <f>-CH128/CH130/MpsToKph</f>
        <v>30.366048820172061</v>
      </c>
      <c r="CI129" s="95">
        <f>-CI128/CI130/MpsToKph</f>
        <v>33.33286395642471</v>
      </c>
      <c r="CJ129" s="95">
        <f>-CJ128/CJ130/MpsToKph</f>
        <v>36.299679092677358</v>
      </c>
      <c r="CK129" s="96"/>
      <c r="CL129" s="194"/>
      <c r="CM129" s="197">
        <v>126</v>
      </c>
      <c r="CN129" s="197">
        <f t="shared" si="127"/>
        <v>-0.86107236270189247</v>
      </c>
      <c r="CO129" s="197">
        <f t="shared" si="132"/>
        <v>67.9905029138787</v>
      </c>
      <c r="CP129" s="197">
        <f t="shared" si="133"/>
        <v>-1.672706942438384</v>
      </c>
    </row>
    <row r="130" spans="31:94" ht="16" thickBot="1" x14ac:dyDescent="0.4">
      <c r="AE130" s="97"/>
      <c r="AF130" s="64"/>
      <c r="AG130" s="65"/>
      <c r="AH130" s="98" t="s">
        <v>43</v>
      </c>
      <c r="AI130" s="191">
        <f t="shared" ref="AI130:AQ130" si="293">KphToKts*(aRprime*(AI126*KtsToKph)^2+bRprime*AI126*KtsToKph+cRprime)</f>
        <v>-8.1568513247873682</v>
      </c>
      <c r="AJ130" s="191">
        <f t="shared" si="293"/>
        <v>-6.5318824553670201</v>
      </c>
      <c r="AK130" s="191">
        <f t="shared" si="293"/>
        <v>-5.3181048170091412</v>
      </c>
      <c r="AL130" s="191">
        <f t="shared" si="293"/>
        <v>-4.4141948962353847</v>
      </c>
      <c r="AM130" s="191">
        <f t="shared" si="293"/>
        <v>-3.7392305252518212</v>
      </c>
      <c r="AN130" s="191">
        <f t="shared" si="293"/>
        <v>-3.2316202647327663</v>
      </c>
      <c r="AO130" s="191">
        <f t="shared" si="293"/>
        <v>-2.8459830739622434</v>
      </c>
      <c r="AP130" s="191">
        <f t="shared" si="293"/>
        <v>-2.549511445845364</v>
      </c>
      <c r="AQ130" s="191">
        <f t="shared" si="293"/>
        <v>-2.3186886886504765</v>
      </c>
      <c r="AR130" s="99" t="s">
        <v>8</v>
      </c>
      <c r="AT130" s="97"/>
      <c r="AU130" s="64"/>
      <c r="AV130" s="65"/>
      <c r="AW130" s="98" t="s">
        <v>43</v>
      </c>
      <c r="AX130" s="191">
        <f t="shared" ref="AX130:BF130" si="294">KphToKts*(aRprime*(AX126*KtsToKph)^2+bRprime*AX126*KtsToKph+cRprime)</f>
        <v>-3.7392305252518212</v>
      </c>
      <c r="AY130" s="191">
        <f t="shared" si="294"/>
        <v>-3.7392305252518212</v>
      </c>
      <c r="AZ130" s="191">
        <f t="shared" si="294"/>
        <v>-3.7392305252518212</v>
      </c>
      <c r="BA130" s="191">
        <f t="shared" si="294"/>
        <v>-3.7392305252518212</v>
      </c>
      <c r="BB130" s="191">
        <f t="shared" si="294"/>
        <v>-3.7392305252518212</v>
      </c>
      <c r="BC130" s="191">
        <f t="shared" si="294"/>
        <v>-3.7392305252518212</v>
      </c>
      <c r="BD130" s="191">
        <f t="shared" si="294"/>
        <v>-3.7392305252518212</v>
      </c>
      <c r="BE130" s="191">
        <f t="shared" si="294"/>
        <v>-3.7392305252518212</v>
      </c>
      <c r="BF130" s="191">
        <f t="shared" si="294"/>
        <v>-3.7392305252518212</v>
      </c>
      <c r="BG130" s="99" t="s">
        <v>8</v>
      </c>
      <c r="BI130" s="97"/>
      <c r="BJ130" s="64"/>
      <c r="BK130" s="65"/>
      <c r="BL130" s="98" t="s">
        <v>43</v>
      </c>
      <c r="BM130" s="191">
        <f>KphToMps*(aRprime*BM126^2+bRprime*BM126+cRprime)</f>
        <v>-4.4101232960681047</v>
      </c>
      <c r="BN130" s="191">
        <f>KphToMps*(aRprime*BN126^2+bRprime*BN126+cRprime)</f>
        <v>-3.4487165824059618</v>
      </c>
      <c r="BO130" s="191">
        <f>KphToMps*(aRprime*BO126^2+bRprime*BO126+cRprime)</f>
        <v>-2.7485867450549404</v>
      </c>
      <c r="BP130" s="191">
        <f>KphToMps*(aRprime*BP126^2+bRprime*BP126+cRprime)</f>
        <v>-2.2412236941594132</v>
      </c>
      <c r="BQ130" s="191">
        <f>KphToMps*(aRprime*BQ126^2+bRprime*BQ126+cRprime)</f>
        <v>-1.8725654617539529</v>
      </c>
      <c r="BR130" s="191">
        <f>KphToMps*(aRprime*BR126^2+bRprime*BR126+cRprime)</f>
        <v>-1.6023987402088613</v>
      </c>
      <c r="BS130" s="191">
        <f>KphToMps*(aRprime*BS126^2+bRprime*BS126+cRprime)</f>
        <v>-1.4019492030570395</v>
      </c>
      <c r="BT130" s="191">
        <f>KphToMps*(aRprime*BT126^2+bRprime*BT126+cRprime)</f>
        <v>-1.2510653699279775</v>
      </c>
      <c r="BU130" s="191">
        <f>KphToMps*(aRprime*BU126^2+bRprime*BU126+cRprime)</f>
        <v>-1.1357518948770922</v>
      </c>
      <c r="BV130" s="99" t="s">
        <v>0</v>
      </c>
      <c r="BX130" s="97"/>
      <c r="BY130" s="64"/>
      <c r="BZ130" s="65"/>
      <c r="CA130" s="98" t="s">
        <v>43</v>
      </c>
      <c r="CB130" s="191">
        <f>KphToMps*(aRprime*CB126^2+bRprime*CB126+cRprime)</f>
        <v>-1.8725654617539529</v>
      </c>
      <c r="CC130" s="191">
        <f>KphToMps*(aRprime*CC126^2+bRprime*CC126+cRprime)</f>
        <v>-1.8725654617539529</v>
      </c>
      <c r="CD130" s="191">
        <f>KphToMps*(aRprime*CD126^2+bRprime*CD126+cRprime)</f>
        <v>-1.8725654617539529</v>
      </c>
      <c r="CE130" s="191">
        <f>KphToMps*(aRprime*CE126^2+bRprime*CE126+cRprime)</f>
        <v>-1.8725654617539529</v>
      </c>
      <c r="CF130" s="191">
        <f>KphToMps*(aRprime*CF126^2+bRprime*CF126+cRprime)</f>
        <v>-1.8725654617539529</v>
      </c>
      <c r="CG130" s="191">
        <f>KphToMps*(aRprime*CG126^2+bRprime*CG126+cRprime)</f>
        <v>-1.8725654617539529</v>
      </c>
      <c r="CH130" s="191">
        <f>KphToMps*(aRprime*CH126^2+bRprime*CH126+cRprime)</f>
        <v>-1.8725654617539529</v>
      </c>
      <c r="CI130" s="191">
        <f>KphToMps*(aRprime*CI126^2+bRprime*CI126+cRprime)</f>
        <v>-1.8725654617539529</v>
      </c>
      <c r="CJ130" s="191">
        <f>KphToMps*(aRprime*CJ126^2+bRprime*CJ126+cRprime)</f>
        <v>-1.8725654617539529</v>
      </c>
      <c r="CK130" s="99" t="s">
        <v>0</v>
      </c>
      <c r="CL130" s="194"/>
      <c r="CM130" s="197">
        <v>127</v>
      </c>
      <c r="CN130" s="197">
        <f t="shared" si="127"/>
        <v>-0.87793045659292701</v>
      </c>
      <c r="CO130" s="197">
        <f t="shared" si="132"/>
        <v>68.530110079861856</v>
      </c>
      <c r="CP130" s="197">
        <f t="shared" si="133"/>
        <v>-1.7054552362046931</v>
      </c>
    </row>
    <row r="131" spans="31:94" ht="16" thickTop="1" x14ac:dyDescent="0.35">
      <c r="AE131" s="66" t="s">
        <v>16</v>
      </c>
      <c r="AF131" s="67"/>
      <c r="AG131" s="68"/>
      <c r="AH131" s="69"/>
      <c r="AI131" s="45" t="s">
        <v>34</v>
      </c>
      <c r="AJ131" s="51"/>
      <c r="AK131" s="51"/>
      <c r="AL131" s="51"/>
      <c r="AM131" s="70" t="s">
        <v>35</v>
      </c>
      <c r="AN131" s="51"/>
      <c r="AO131" s="51"/>
      <c r="AP131" s="51"/>
      <c r="AQ131" s="71" t="s">
        <v>36</v>
      </c>
      <c r="AR131" s="72" t="s">
        <v>37</v>
      </c>
      <c r="AT131" s="66" t="s">
        <v>16</v>
      </c>
      <c r="AU131" s="67"/>
      <c r="AV131" s="68"/>
      <c r="AW131" s="69"/>
      <c r="AX131" s="45" t="s">
        <v>34</v>
      </c>
      <c r="AY131" s="51"/>
      <c r="AZ131" s="51"/>
      <c r="BA131" s="51"/>
      <c r="BB131" s="70" t="s">
        <v>35</v>
      </c>
      <c r="BC131" s="51"/>
      <c r="BD131" s="51"/>
      <c r="BE131" s="51"/>
      <c r="BF131" s="71" t="s">
        <v>36</v>
      </c>
      <c r="BG131" s="72" t="s">
        <v>37</v>
      </c>
      <c r="BI131" s="66" t="s">
        <v>16</v>
      </c>
      <c r="BJ131" s="67"/>
      <c r="BK131" s="68"/>
      <c r="BL131" s="69"/>
      <c r="BM131" s="45" t="s">
        <v>34</v>
      </c>
      <c r="BN131" s="51"/>
      <c r="BO131" s="51"/>
      <c r="BP131" s="51"/>
      <c r="BQ131" s="70" t="s">
        <v>35</v>
      </c>
      <c r="BR131" s="51"/>
      <c r="BS131" s="51"/>
      <c r="BT131" s="51"/>
      <c r="BU131" s="71" t="s">
        <v>36</v>
      </c>
      <c r="BV131" s="72" t="s">
        <v>37</v>
      </c>
      <c r="BX131" s="66" t="s">
        <v>16</v>
      </c>
      <c r="BY131" s="67"/>
      <c r="BZ131" s="68"/>
      <c r="CA131" s="69"/>
      <c r="CB131" s="45" t="s">
        <v>34</v>
      </c>
      <c r="CC131" s="51"/>
      <c r="CD131" s="51"/>
      <c r="CE131" s="51"/>
      <c r="CF131" s="70" t="s">
        <v>35</v>
      </c>
      <c r="CG131" s="51"/>
      <c r="CH131" s="51"/>
      <c r="CI131" s="51"/>
      <c r="CJ131" s="71" t="s">
        <v>36</v>
      </c>
      <c r="CK131" s="72" t="s">
        <v>37</v>
      </c>
      <c r="CL131" s="193"/>
      <c r="CM131" s="197">
        <v>128</v>
      </c>
      <c r="CN131" s="197">
        <f t="shared" ref="CN131:CN194" si="295">(aRprime*CM131^2+bRprime*CM131+cRprime+Wm)/3.6</f>
        <v>-0.89528055879726332</v>
      </c>
      <c r="CO131" s="197">
        <f t="shared" si="132"/>
        <v>69.069717245845027</v>
      </c>
      <c r="CP131" s="197">
        <f t="shared" si="133"/>
        <v>-1.7391592983326936</v>
      </c>
    </row>
    <row r="132" spans="31:94" ht="15.5" x14ac:dyDescent="0.35">
      <c r="AE132" s="73" t="s">
        <v>8</v>
      </c>
      <c r="AF132" s="74"/>
      <c r="AG132" s="75"/>
      <c r="AH132" s="76"/>
      <c r="AI132" s="77">
        <v>40</v>
      </c>
      <c r="AJ132" s="78">
        <v>30</v>
      </c>
      <c r="AK132" s="78">
        <v>20</v>
      </c>
      <c r="AL132" s="78">
        <v>10</v>
      </c>
      <c r="AM132" s="78">
        <v>0</v>
      </c>
      <c r="AN132" s="78">
        <v>-10</v>
      </c>
      <c r="AO132" s="78">
        <v>-20</v>
      </c>
      <c r="AP132" s="78">
        <v>-30</v>
      </c>
      <c r="AQ132" s="79">
        <v>-40</v>
      </c>
      <c r="AR132" s="80" t="s">
        <v>8</v>
      </c>
      <c r="AT132" s="73" t="s">
        <v>8</v>
      </c>
      <c r="AU132" s="74"/>
      <c r="AV132" s="75"/>
      <c r="AW132" s="76"/>
      <c r="AX132" s="77">
        <v>40</v>
      </c>
      <c r="AY132" s="78">
        <v>30</v>
      </c>
      <c r="AZ132" s="78">
        <v>20</v>
      </c>
      <c r="BA132" s="78">
        <v>10</v>
      </c>
      <c r="BB132" s="78">
        <v>0</v>
      </c>
      <c r="BC132" s="78">
        <v>-10</v>
      </c>
      <c r="BD132" s="78">
        <v>-20</v>
      </c>
      <c r="BE132" s="78">
        <v>-30</v>
      </c>
      <c r="BF132" s="79">
        <v>-40</v>
      </c>
      <c r="BG132" s="80" t="s">
        <v>8</v>
      </c>
      <c r="BI132" s="73" t="s">
        <v>0</v>
      </c>
      <c r="BJ132" s="74"/>
      <c r="BK132" s="75"/>
      <c r="BL132" s="76"/>
      <c r="BM132" s="77">
        <v>80</v>
      </c>
      <c r="BN132" s="78">
        <v>60</v>
      </c>
      <c r="BO132" s="78">
        <v>40</v>
      </c>
      <c r="BP132" s="78">
        <v>20</v>
      </c>
      <c r="BQ132" s="78">
        <v>0</v>
      </c>
      <c r="BR132" s="78">
        <v>-20</v>
      </c>
      <c r="BS132" s="78">
        <v>-40</v>
      </c>
      <c r="BT132" s="78">
        <v>-60</v>
      </c>
      <c r="BU132" s="79">
        <v>-80</v>
      </c>
      <c r="BV132" s="80" t="s">
        <v>1</v>
      </c>
      <c r="BX132" s="73" t="s">
        <v>0</v>
      </c>
      <c r="BY132" s="74"/>
      <c r="BZ132" s="75"/>
      <c r="CA132" s="76"/>
      <c r="CB132" s="77">
        <v>80</v>
      </c>
      <c r="CC132" s="78">
        <v>60</v>
      </c>
      <c r="CD132" s="78">
        <v>40</v>
      </c>
      <c r="CE132" s="78">
        <v>20</v>
      </c>
      <c r="CF132" s="78">
        <v>0</v>
      </c>
      <c r="CG132" s="78">
        <v>-20</v>
      </c>
      <c r="CH132" s="78">
        <v>-40</v>
      </c>
      <c r="CI132" s="78">
        <v>-60</v>
      </c>
      <c r="CJ132" s="79">
        <v>-80</v>
      </c>
      <c r="CK132" s="80" t="s">
        <v>1</v>
      </c>
      <c r="CL132" s="193"/>
      <c r="CM132" s="197">
        <v>129</v>
      </c>
      <c r="CN132" s="197">
        <f t="shared" si="295"/>
        <v>-0.91312266931490182</v>
      </c>
      <c r="CO132" s="197">
        <f t="shared" ref="CO132:CO195" si="296">CM132/1.8532</f>
        <v>69.609324411828197</v>
      </c>
      <c r="CP132" s="197">
        <f t="shared" ref="CP132:CP195" si="297">CN132/1.8532*3600/1000</f>
        <v>-1.7738191288223866</v>
      </c>
    </row>
    <row r="133" spans="31:94" ht="15.5" x14ac:dyDescent="0.35">
      <c r="AE133" s="66">
        <v>9</v>
      </c>
      <c r="AF133" s="81" t="s">
        <v>38</v>
      </c>
      <c r="AG133" s="60">
        <v>5</v>
      </c>
      <c r="AH133" s="71" t="s">
        <v>39</v>
      </c>
      <c r="AI133" s="82">
        <f t="shared" ref="AI133:AQ138" si="298">ROUND($AG133*SmiToFt/AI$142+$AI$11+$AI$12,-2)</f>
        <v>4900</v>
      </c>
      <c r="AJ133" s="82">
        <f t="shared" si="298"/>
        <v>4300</v>
      </c>
      <c r="AK133" s="82">
        <f t="shared" si="298"/>
        <v>3800</v>
      </c>
      <c r="AL133" s="82">
        <f t="shared" si="298"/>
        <v>3400</v>
      </c>
      <c r="AM133" s="83">
        <f t="shared" si="298"/>
        <v>3100</v>
      </c>
      <c r="AN133" s="82">
        <f t="shared" si="298"/>
        <v>2900</v>
      </c>
      <c r="AO133" s="82">
        <f t="shared" si="298"/>
        <v>2700</v>
      </c>
      <c r="AP133" s="82">
        <f t="shared" si="298"/>
        <v>2600</v>
      </c>
      <c r="AQ133" s="82">
        <f t="shared" si="298"/>
        <v>2500</v>
      </c>
      <c r="AR133" s="72" t="s">
        <v>33</v>
      </c>
      <c r="AT133" s="66">
        <v>9</v>
      </c>
      <c r="AU133" s="81" t="s">
        <v>38</v>
      </c>
      <c r="AV133" s="60">
        <v>5</v>
      </c>
      <c r="AW133" s="71" t="s">
        <v>39</v>
      </c>
      <c r="AX133" s="82">
        <f t="shared" ref="AX133:BF138" si="299">ROUND($AV133*SmiToFt/AX$142+$AX$11+$AX$12,-2)</f>
        <v>4000</v>
      </c>
      <c r="AY133" s="82">
        <f t="shared" si="299"/>
        <v>3700</v>
      </c>
      <c r="AZ133" s="82">
        <f t="shared" si="299"/>
        <v>3400</v>
      </c>
      <c r="BA133" s="82">
        <f t="shared" si="299"/>
        <v>3300</v>
      </c>
      <c r="BB133" s="83">
        <f t="shared" si="299"/>
        <v>3100</v>
      </c>
      <c r="BC133" s="82">
        <f t="shared" si="299"/>
        <v>3000</v>
      </c>
      <c r="BD133" s="82">
        <f t="shared" si="299"/>
        <v>2900</v>
      </c>
      <c r="BE133" s="82">
        <f t="shared" si="299"/>
        <v>2800</v>
      </c>
      <c r="BF133" s="82">
        <f t="shared" si="299"/>
        <v>2800</v>
      </c>
      <c r="BG133" s="72" t="s">
        <v>33</v>
      </c>
      <c r="BI133" s="66">
        <v>4.5</v>
      </c>
      <c r="BJ133" s="81" t="s">
        <v>38</v>
      </c>
      <c r="BK133" s="60">
        <v>10</v>
      </c>
      <c r="BL133" s="71" t="s">
        <v>170</v>
      </c>
      <c r="BM133" s="82">
        <f t="shared" ref="BM133:BU138" si="300">ROUND($BK133*1000/BM$142+$BM$11+$BM$12,-1)</f>
        <v>1790</v>
      </c>
      <c r="BN133" s="82">
        <f t="shared" si="300"/>
        <v>1520</v>
      </c>
      <c r="BO133" s="82">
        <f t="shared" si="300"/>
        <v>1300</v>
      </c>
      <c r="BP133" s="82">
        <f t="shared" si="300"/>
        <v>1140</v>
      </c>
      <c r="BQ133" s="83">
        <f t="shared" si="300"/>
        <v>1020</v>
      </c>
      <c r="BR133" s="82">
        <f t="shared" si="300"/>
        <v>930</v>
      </c>
      <c r="BS133" s="82">
        <f t="shared" si="300"/>
        <v>870</v>
      </c>
      <c r="BT133" s="82">
        <f t="shared" si="300"/>
        <v>820</v>
      </c>
      <c r="BU133" s="82">
        <f t="shared" si="300"/>
        <v>780</v>
      </c>
      <c r="BV133" s="72" t="s">
        <v>164</v>
      </c>
      <c r="BX133" s="66">
        <v>4.5</v>
      </c>
      <c r="BY133" s="81" t="s">
        <v>38</v>
      </c>
      <c r="BZ133" s="60">
        <v>10</v>
      </c>
      <c r="CA133" s="71" t="s">
        <v>170</v>
      </c>
      <c r="CB133" s="82">
        <f t="shared" ref="CB133:CJ138" si="301">ROUND($BZ133*1000/CB$142+$CB$11+$CB$12,-1)</f>
        <v>1410</v>
      </c>
      <c r="CC133" s="82">
        <f t="shared" si="301"/>
        <v>1260</v>
      </c>
      <c r="CD133" s="82">
        <f t="shared" si="301"/>
        <v>1160</v>
      </c>
      <c r="CE133" s="82">
        <f t="shared" si="301"/>
        <v>1080</v>
      </c>
      <c r="CF133" s="83">
        <f>ROUND($BZ133*1000/CF$142+$CB$11+$CB$12,-1)</f>
        <v>1020</v>
      </c>
      <c r="CG133" s="82">
        <f t="shared" si="301"/>
        <v>980</v>
      </c>
      <c r="CH133" s="82">
        <f t="shared" si="301"/>
        <v>940</v>
      </c>
      <c r="CI133" s="82">
        <f t="shared" si="301"/>
        <v>910</v>
      </c>
      <c r="CJ133" s="82">
        <f t="shared" si="301"/>
        <v>880</v>
      </c>
      <c r="CK133" s="72" t="s">
        <v>164</v>
      </c>
      <c r="CL133" s="193"/>
      <c r="CM133" s="197">
        <v>130</v>
      </c>
      <c r="CN133" s="197">
        <f t="shared" si="295"/>
        <v>-0.93145678814584154</v>
      </c>
      <c r="CO133" s="197">
        <f t="shared" si="296"/>
        <v>70.148931577811354</v>
      </c>
      <c r="CP133" s="197">
        <f t="shared" si="297"/>
        <v>-1.8094347276737694</v>
      </c>
    </row>
    <row r="134" spans="31:94" ht="15.5" x14ac:dyDescent="0.35">
      <c r="AE134" s="84"/>
      <c r="AF134" s="53"/>
      <c r="AG134" s="85">
        <v>10</v>
      </c>
      <c r="AH134" s="86" t="s">
        <v>39</v>
      </c>
      <c r="AI134" s="82">
        <f t="shared" si="298"/>
        <v>7900</v>
      </c>
      <c r="AJ134" s="82">
        <f t="shared" si="298"/>
        <v>6700</v>
      </c>
      <c r="AK134" s="82">
        <f t="shared" si="298"/>
        <v>5700</v>
      </c>
      <c r="AL134" s="82">
        <f t="shared" si="298"/>
        <v>4900</v>
      </c>
      <c r="AM134" s="83">
        <f t="shared" si="298"/>
        <v>4300</v>
      </c>
      <c r="AN134" s="82">
        <f t="shared" si="298"/>
        <v>3900</v>
      </c>
      <c r="AO134" s="82">
        <f t="shared" si="298"/>
        <v>3500</v>
      </c>
      <c r="AP134" s="82">
        <f t="shared" si="298"/>
        <v>3300</v>
      </c>
      <c r="AQ134" s="82">
        <f t="shared" si="298"/>
        <v>3100</v>
      </c>
      <c r="AR134" s="87" t="s">
        <v>33</v>
      </c>
      <c r="AT134" s="84"/>
      <c r="AU134" s="53"/>
      <c r="AV134" s="85">
        <v>10</v>
      </c>
      <c r="AW134" s="86" t="s">
        <v>39</v>
      </c>
      <c r="AX134" s="82">
        <f t="shared" si="299"/>
        <v>6100</v>
      </c>
      <c r="AY134" s="82">
        <f t="shared" si="299"/>
        <v>5400</v>
      </c>
      <c r="AZ134" s="82">
        <f t="shared" si="299"/>
        <v>5000</v>
      </c>
      <c r="BA134" s="82">
        <f t="shared" si="299"/>
        <v>4600</v>
      </c>
      <c r="BB134" s="83">
        <f t="shared" si="299"/>
        <v>4300</v>
      </c>
      <c r="BC134" s="82">
        <f t="shared" si="299"/>
        <v>4100</v>
      </c>
      <c r="BD134" s="82">
        <f t="shared" si="299"/>
        <v>3900</v>
      </c>
      <c r="BE134" s="82">
        <f t="shared" si="299"/>
        <v>3700</v>
      </c>
      <c r="BF134" s="82">
        <f t="shared" si="299"/>
        <v>3600</v>
      </c>
      <c r="BG134" s="87" t="s">
        <v>33</v>
      </c>
      <c r="BI134" s="84"/>
      <c r="BJ134" s="53"/>
      <c r="BK134" s="85">
        <v>20</v>
      </c>
      <c r="BL134" s="86" t="s">
        <v>170</v>
      </c>
      <c r="BM134" s="82">
        <f t="shared" si="300"/>
        <v>3010</v>
      </c>
      <c r="BN134" s="82">
        <f t="shared" si="300"/>
        <v>2460</v>
      </c>
      <c r="BO134" s="82">
        <f t="shared" si="300"/>
        <v>2030</v>
      </c>
      <c r="BP134" s="82">
        <f t="shared" si="300"/>
        <v>1700</v>
      </c>
      <c r="BQ134" s="83">
        <f t="shared" si="300"/>
        <v>1460</v>
      </c>
      <c r="BR134" s="82">
        <f t="shared" si="300"/>
        <v>1290</v>
      </c>
      <c r="BS134" s="82">
        <f t="shared" si="300"/>
        <v>1150</v>
      </c>
      <c r="BT134" s="82">
        <f t="shared" si="300"/>
        <v>1060</v>
      </c>
      <c r="BU134" s="82">
        <f t="shared" si="300"/>
        <v>980</v>
      </c>
      <c r="BV134" s="87" t="s">
        <v>164</v>
      </c>
      <c r="BX134" s="84"/>
      <c r="BY134" s="53"/>
      <c r="BZ134" s="85">
        <v>20</v>
      </c>
      <c r="CA134" s="86" t="s">
        <v>170</v>
      </c>
      <c r="CB134" s="82">
        <f t="shared" si="301"/>
        <v>2240</v>
      </c>
      <c r="CC134" s="82">
        <f t="shared" si="301"/>
        <v>1940</v>
      </c>
      <c r="CD134" s="82">
        <f t="shared" si="301"/>
        <v>1730</v>
      </c>
      <c r="CE134" s="82">
        <f t="shared" si="301"/>
        <v>1580</v>
      </c>
      <c r="CF134" s="83">
        <f t="shared" ref="CF134:CF138" si="302">ROUND($BZ134*1000/CF$142+$CB$11+$CB$12,-1)</f>
        <v>1460</v>
      </c>
      <c r="CG134" s="82">
        <f t="shared" si="301"/>
        <v>1370</v>
      </c>
      <c r="CH134" s="82">
        <f t="shared" si="301"/>
        <v>1300</v>
      </c>
      <c r="CI134" s="82">
        <f t="shared" si="301"/>
        <v>1230</v>
      </c>
      <c r="CJ134" s="82">
        <f t="shared" si="301"/>
        <v>1180</v>
      </c>
      <c r="CK134" s="87" t="s">
        <v>164</v>
      </c>
      <c r="CL134" s="193"/>
      <c r="CM134" s="197">
        <v>131</v>
      </c>
      <c r="CN134" s="197">
        <f t="shared" si="295"/>
        <v>-0.95028291529008257</v>
      </c>
      <c r="CO134" s="197">
        <f t="shared" si="296"/>
        <v>70.688538743794524</v>
      </c>
      <c r="CP134" s="197">
        <f t="shared" si="297"/>
        <v>-1.8460060948868429</v>
      </c>
    </row>
    <row r="135" spans="31:94" ht="15.5" x14ac:dyDescent="0.35">
      <c r="AE135" s="84"/>
      <c r="AF135" s="53"/>
      <c r="AG135" s="85">
        <v>20</v>
      </c>
      <c r="AH135" s="86" t="s">
        <v>39</v>
      </c>
      <c r="AI135" s="82">
        <f t="shared" si="298"/>
        <v>14000</v>
      </c>
      <c r="AJ135" s="82">
        <f t="shared" si="298"/>
        <v>11400</v>
      </c>
      <c r="AK135" s="82">
        <f t="shared" si="298"/>
        <v>9400</v>
      </c>
      <c r="AL135" s="82">
        <f t="shared" si="298"/>
        <v>7900</v>
      </c>
      <c r="AM135" s="83">
        <f t="shared" si="298"/>
        <v>6700</v>
      </c>
      <c r="AN135" s="82">
        <f t="shared" si="298"/>
        <v>5800</v>
      </c>
      <c r="AO135" s="82">
        <f t="shared" si="298"/>
        <v>5100</v>
      </c>
      <c r="AP135" s="82">
        <f t="shared" si="298"/>
        <v>4600</v>
      </c>
      <c r="AQ135" s="82">
        <f t="shared" si="298"/>
        <v>4200</v>
      </c>
      <c r="AR135" s="87" t="s">
        <v>33</v>
      </c>
      <c r="AT135" s="84"/>
      <c r="AU135" s="53"/>
      <c r="AV135" s="85">
        <v>20</v>
      </c>
      <c r="AW135" s="86" t="s">
        <v>39</v>
      </c>
      <c r="AX135" s="82">
        <f t="shared" si="299"/>
        <v>10300</v>
      </c>
      <c r="AY135" s="82">
        <f t="shared" si="299"/>
        <v>9000</v>
      </c>
      <c r="AZ135" s="82">
        <f t="shared" si="299"/>
        <v>8000</v>
      </c>
      <c r="BA135" s="82">
        <f t="shared" si="299"/>
        <v>7300</v>
      </c>
      <c r="BB135" s="83">
        <f t="shared" si="299"/>
        <v>6700</v>
      </c>
      <c r="BC135" s="82">
        <f t="shared" si="299"/>
        <v>6200</v>
      </c>
      <c r="BD135" s="82">
        <f t="shared" si="299"/>
        <v>5800</v>
      </c>
      <c r="BE135" s="82">
        <f t="shared" si="299"/>
        <v>5500</v>
      </c>
      <c r="BF135" s="82">
        <f t="shared" si="299"/>
        <v>5300</v>
      </c>
      <c r="BG135" s="87" t="s">
        <v>33</v>
      </c>
      <c r="BI135" s="84"/>
      <c r="BJ135" s="53"/>
      <c r="BK135" s="85">
        <v>30</v>
      </c>
      <c r="BL135" s="86" t="s">
        <v>170</v>
      </c>
      <c r="BM135" s="82">
        <f t="shared" si="300"/>
        <v>4220</v>
      </c>
      <c r="BN135" s="82">
        <f t="shared" si="300"/>
        <v>3390</v>
      </c>
      <c r="BO135" s="82">
        <f t="shared" si="300"/>
        <v>2750</v>
      </c>
      <c r="BP135" s="82">
        <f t="shared" si="300"/>
        <v>2270</v>
      </c>
      <c r="BQ135" s="83">
        <f t="shared" si="300"/>
        <v>1910</v>
      </c>
      <c r="BR135" s="82">
        <f t="shared" si="300"/>
        <v>1640</v>
      </c>
      <c r="BS135" s="82">
        <f t="shared" si="300"/>
        <v>1440</v>
      </c>
      <c r="BT135" s="82">
        <f t="shared" si="300"/>
        <v>1290</v>
      </c>
      <c r="BU135" s="82">
        <f t="shared" si="300"/>
        <v>1180</v>
      </c>
      <c r="BV135" s="87" t="s">
        <v>164</v>
      </c>
      <c r="BX135" s="84"/>
      <c r="BY135" s="53"/>
      <c r="BZ135" s="85">
        <v>30</v>
      </c>
      <c r="CA135" s="86" t="s">
        <v>170</v>
      </c>
      <c r="CB135" s="82">
        <f t="shared" si="301"/>
        <v>3080</v>
      </c>
      <c r="CC135" s="82">
        <f t="shared" si="301"/>
        <v>2630</v>
      </c>
      <c r="CD135" s="82">
        <f t="shared" si="301"/>
        <v>2310</v>
      </c>
      <c r="CE135" s="82">
        <f t="shared" si="301"/>
        <v>2080</v>
      </c>
      <c r="CF135" s="83">
        <f t="shared" si="302"/>
        <v>1910</v>
      </c>
      <c r="CG135" s="82">
        <f t="shared" si="301"/>
        <v>1770</v>
      </c>
      <c r="CH135" s="82">
        <f t="shared" si="301"/>
        <v>1650</v>
      </c>
      <c r="CI135" s="82">
        <f t="shared" si="301"/>
        <v>1560</v>
      </c>
      <c r="CJ135" s="82">
        <f t="shared" si="301"/>
        <v>1480</v>
      </c>
      <c r="CK135" s="87" t="s">
        <v>164</v>
      </c>
      <c r="CL135" s="193"/>
      <c r="CM135" s="197">
        <v>132</v>
      </c>
      <c r="CN135" s="197">
        <f t="shared" si="295"/>
        <v>-0.96960105074762626</v>
      </c>
      <c r="CO135" s="197">
        <f t="shared" si="296"/>
        <v>71.22814590977768</v>
      </c>
      <c r="CP135" s="197">
        <f t="shared" si="297"/>
        <v>-1.8835332304616095</v>
      </c>
    </row>
    <row r="136" spans="31:94" ht="15.5" x14ac:dyDescent="0.35">
      <c r="AE136" s="84"/>
      <c r="AF136" s="53"/>
      <c r="AG136" s="85">
        <v>30</v>
      </c>
      <c r="AH136" s="86" t="s">
        <v>39</v>
      </c>
      <c r="AI136" s="82">
        <f t="shared" si="298"/>
        <v>20000</v>
      </c>
      <c r="AJ136" s="82">
        <f t="shared" si="298"/>
        <v>16200</v>
      </c>
      <c r="AK136" s="82">
        <f t="shared" si="298"/>
        <v>13100</v>
      </c>
      <c r="AL136" s="82">
        <f t="shared" si="298"/>
        <v>10800</v>
      </c>
      <c r="AM136" s="83">
        <f t="shared" si="298"/>
        <v>9100</v>
      </c>
      <c r="AN136" s="82">
        <f t="shared" si="298"/>
        <v>7700</v>
      </c>
      <c r="AO136" s="82">
        <f t="shared" si="298"/>
        <v>6700</v>
      </c>
      <c r="AP136" s="82">
        <f t="shared" si="298"/>
        <v>5900</v>
      </c>
      <c r="AQ136" s="82">
        <f t="shared" si="298"/>
        <v>5300</v>
      </c>
      <c r="AR136" s="87" t="s">
        <v>33</v>
      </c>
      <c r="AT136" s="84"/>
      <c r="AU136" s="53"/>
      <c r="AV136" s="85">
        <v>30</v>
      </c>
      <c r="AW136" s="86" t="s">
        <v>39</v>
      </c>
      <c r="AX136" s="82">
        <f t="shared" si="299"/>
        <v>14500</v>
      </c>
      <c r="AY136" s="82">
        <f t="shared" si="299"/>
        <v>12500</v>
      </c>
      <c r="AZ136" s="82">
        <f t="shared" si="299"/>
        <v>11000</v>
      </c>
      <c r="BA136" s="82">
        <f t="shared" si="299"/>
        <v>9900</v>
      </c>
      <c r="BB136" s="83">
        <f t="shared" si="299"/>
        <v>9100</v>
      </c>
      <c r="BC136" s="82">
        <f t="shared" si="299"/>
        <v>8400</v>
      </c>
      <c r="BD136" s="82">
        <f t="shared" si="299"/>
        <v>7800</v>
      </c>
      <c r="BE136" s="82">
        <f t="shared" si="299"/>
        <v>7300</v>
      </c>
      <c r="BF136" s="82">
        <f t="shared" si="299"/>
        <v>6900</v>
      </c>
      <c r="BG136" s="87" t="s">
        <v>33</v>
      </c>
      <c r="BI136" s="84"/>
      <c r="BJ136" s="53"/>
      <c r="BK136" s="85">
        <v>40</v>
      </c>
      <c r="BL136" s="86" t="s">
        <v>170</v>
      </c>
      <c r="BM136" s="82">
        <f t="shared" si="300"/>
        <v>5440</v>
      </c>
      <c r="BN136" s="82">
        <f t="shared" si="300"/>
        <v>4330</v>
      </c>
      <c r="BO136" s="82">
        <f t="shared" si="300"/>
        <v>3470</v>
      </c>
      <c r="BP136" s="82">
        <f t="shared" si="300"/>
        <v>2830</v>
      </c>
      <c r="BQ136" s="83">
        <f t="shared" si="300"/>
        <v>2350</v>
      </c>
      <c r="BR136" s="82">
        <f t="shared" si="300"/>
        <v>1990</v>
      </c>
      <c r="BS136" s="82">
        <f t="shared" si="300"/>
        <v>1730</v>
      </c>
      <c r="BT136" s="82">
        <f t="shared" si="300"/>
        <v>1530</v>
      </c>
      <c r="BU136" s="82">
        <f t="shared" si="300"/>
        <v>1380</v>
      </c>
      <c r="BV136" s="87" t="s">
        <v>164</v>
      </c>
      <c r="BX136" s="84"/>
      <c r="BY136" s="53"/>
      <c r="BZ136" s="85">
        <v>40</v>
      </c>
      <c r="CA136" s="86" t="s">
        <v>170</v>
      </c>
      <c r="CB136" s="82">
        <f t="shared" si="301"/>
        <v>3910</v>
      </c>
      <c r="CC136" s="82">
        <f t="shared" si="301"/>
        <v>3310</v>
      </c>
      <c r="CD136" s="82">
        <f t="shared" si="301"/>
        <v>2890</v>
      </c>
      <c r="CE136" s="82">
        <f t="shared" si="301"/>
        <v>2580</v>
      </c>
      <c r="CF136" s="83">
        <f t="shared" si="302"/>
        <v>2350</v>
      </c>
      <c r="CG136" s="82">
        <f t="shared" si="301"/>
        <v>2160</v>
      </c>
      <c r="CH136" s="82">
        <f t="shared" si="301"/>
        <v>2010</v>
      </c>
      <c r="CI136" s="82">
        <f t="shared" si="301"/>
        <v>1890</v>
      </c>
      <c r="CJ136" s="82">
        <f t="shared" si="301"/>
        <v>1780</v>
      </c>
      <c r="CK136" s="87" t="s">
        <v>164</v>
      </c>
      <c r="CL136" s="193"/>
      <c r="CM136" s="197">
        <v>133</v>
      </c>
      <c r="CN136" s="197">
        <f t="shared" si="295"/>
        <v>-0.9894111945184717</v>
      </c>
      <c r="CO136" s="197">
        <f t="shared" si="296"/>
        <v>71.767753075760851</v>
      </c>
      <c r="CP136" s="197">
        <f t="shared" si="297"/>
        <v>-1.9220161343980671</v>
      </c>
    </row>
    <row r="137" spans="31:94" ht="15.5" x14ac:dyDescent="0.35">
      <c r="AE137" s="84"/>
      <c r="AF137" s="53"/>
      <c r="AG137" s="85">
        <v>40</v>
      </c>
      <c r="AH137" s="86" t="s">
        <v>39</v>
      </c>
      <c r="AI137" s="82">
        <f t="shared" si="298"/>
        <v>26000</v>
      </c>
      <c r="AJ137" s="82">
        <f t="shared" si="298"/>
        <v>20900</v>
      </c>
      <c r="AK137" s="82">
        <f t="shared" si="298"/>
        <v>16900</v>
      </c>
      <c r="AL137" s="82">
        <f t="shared" si="298"/>
        <v>13800</v>
      </c>
      <c r="AM137" s="83">
        <f t="shared" si="298"/>
        <v>11400</v>
      </c>
      <c r="AN137" s="82">
        <f t="shared" si="298"/>
        <v>9700</v>
      </c>
      <c r="AO137" s="82">
        <f t="shared" si="298"/>
        <v>8300</v>
      </c>
      <c r="AP137" s="82">
        <f t="shared" si="298"/>
        <v>7300</v>
      </c>
      <c r="AQ137" s="82">
        <f t="shared" si="298"/>
        <v>6400</v>
      </c>
      <c r="AR137" s="87" t="s">
        <v>33</v>
      </c>
      <c r="AT137" s="84"/>
      <c r="AU137" s="53"/>
      <c r="AV137" s="85">
        <v>40</v>
      </c>
      <c r="AW137" s="86" t="s">
        <v>39</v>
      </c>
      <c r="AX137" s="82">
        <f t="shared" si="299"/>
        <v>18600</v>
      </c>
      <c r="AY137" s="82">
        <f t="shared" si="299"/>
        <v>16000</v>
      </c>
      <c r="AZ137" s="82">
        <f t="shared" si="299"/>
        <v>14100</v>
      </c>
      <c r="BA137" s="82">
        <f t="shared" si="299"/>
        <v>12600</v>
      </c>
      <c r="BB137" s="83">
        <f t="shared" si="299"/>
        <v>11400</v>
      </c>
      <c r="BC137" s="82">
        <f t="shared" si="299"/>
        <v>10500</v>
      </c>
      <c r="BD137" s="82">
        <f t="shared" si="299"/>
        <v>9800</v>
      </c>
      <c r="BE137" s="82">
        <f t="shared" si="299"/>
        <v>9100</v>
      </c>
      <c r="BF137" s="82">
        <f t="shared" si="299"/>
        <v>8600</v>
      </c>
      <c r="BG137" s="87" t="s">
        <v>33</v>
      </c>
      <c r="BI137" s="84"/>
      <c r="BJ137" s="53"/>
      <c r="BK137" s="85">
        <v>50</v>
      </c>
      <c r="BL137" s="86" t="s">
        <v>170</v>
      </c>
      <c r="BM137" s="82">
        <f t="shared" si="300"/>
        <v>6650</v>
      </c>
      <c r="BN137" s="82">
        <f t="shared" si="300"/>
        <v>5270</v>
      </c>
      <c r="BO137" s="82">
        <f t="shared" si="300"/>
        <v>4200</v>
      </c>
      <c r="BP137" s="82">
        <f t="shared" si="300"/>
        <v>3390</v>
      </c>
      <c r="BQ137" s="83">
        <f t="shared" si="300"/>
        <v>2790</v>
      </c>
      <c r="BR137" s="82">
        <f t="shared" si="300"/>
        <v>2350</v>
      </c>
      <c r="BS137" s="82">
        <f t="shared" si="300"/>
        <v>2020</v>
      </c>
      <c r="BT137" s="82">
        <f t="shared" si="300"/>
        <v>1770</v>
      </c>
      <c r="BU137" s="82">
        <f t="shared" si="300"/>
        <v>1580</v>
      </c>
      <c r="BV137" s="87" t="s">
        <v>164</v>
      </c>
      <c r="BX137" s="84"/>
      <c r="BY137" s="53"/>
      <c r="BZ137" s="85">
        <v>50</v>
      </c>
      <c r="CA137" s="86" t="s">
        <v>170</v>
      </c>
      <c r="CB137" s="82">
        <f t="shared" si="301"/>
        <v>4740</v>
      </c>
      <c r="CC137" s="82">
        <f t="shared" si="301"/>
        <v>3990</v>
      </c>
      <c r="CD137" s="82">
        <f t="shared" si="301"/>
        <v>3470</v>
      </c>
      <c r="CE137" s="82">
        <f t="shared" si="301"/>
        <v>3080</v>
      </c>
      <c r="CF137" s="83">
        <f t="shared" si="302"/>
        <v>2790</v>
      </c>
      <c r="CG137" s="82">
        <f t="shared" si="301"/>
        <v>2560</v>
      </c>
      <c r="CH137" s="82">
        <f t="shared" si="301"/>
        <v>2370</v>
      </c>
      <c r="CI137" s="82">
        <f t="shared" si="301"/>
        <v>2220</v>
      </c>
      <c r="CJ137" s="82">
        <f t="shared" si="301"/>
        <v>2090</v>
      </c>
      <c r="CK137" s="87" t="s">
        <v>164</v>
      </c>
      <c r="CL137" s="193"/>
      <c r="CM137" s="197">
        <v>134</v>
      </c>
      <c r="CN137" s="197">
        <f t="shared" si="295"/>
        <v>-1.0097133466026194</v>
      </c>
      <c r="CO137" s="197">
        <f t="shared" si="296"/>
        <v>72.307360241744007</v>
      </c>
      <c r="CP137" s="197">
        <f t="shared" si="297"/>
        <v>-1.9614548066962172</v>
      </c>
    </row>
    <row r="138" spans="31:94" ht="15.5" x14ac:dyDescent="0.35">
      <c r="AE138" s="84"/>
      <c r="AF138" s="53"/>
      <c r="AG138" s="85">
        <v>50</v>
      </c>
      <c r="AH138" s="86" t="s">
        <v>39</v>
      </c>
      <c r="AI138" s="82">
        <f t="shared" si="298"/>
        <v>32000</v>
      </c>
      <c r="AJ138" s="82">
        <f t="shared" si="298"/>
        <v>25700</v>
      </c>
      <c r="AK138" s="82">
        <f t="shared" si="298"/>
        <v>20600</v>
      </c>
      <c r="AL138" s="82">
        <f t="shared" si="298"/>
        <v>16800</v>
      </c>
      <c r="AM138" s="83">
        <f t="shared" si="298"/>
        <v>13800</v>
      </c>
      <c r="AN138" s="82">
        <f t="shared" si="298"/>
        <v>11600</v>
      </c>
      <c r="AO138" s="82">
        <f t="shared" si="298"/>
        <v>9900</v>
      </c>
      <c r="AP138" s="82">
        <f t="shared" si="298"/>
        <v>8600</v>
      </c>
      <c r="AQ138" s="82">
        <f t="shared" si="298"/>
        <v>7600</v>
      </c>
      <c r="AR138" s="87" t="s">
        <v>33</v>
      </c>
      <c r="AT138" s="84"/>
      <c r="AU138" s="53"/>
      <c r="AV138" s="85">
        <v>50</v>
      </c>
      <c r="AW138" s="86" t="s">
        <v>39</v>
      </c>
      <c r="AX138" s="82">
        <f t="shared" si="299"/>
        <v>22800</v>
      </c>
      <c r="AY138" s="82">
        <f t="shared" si="299"/>
        <v>19500</v>
      </c>
      <c r="AZ138" s="82">
        <f t="shared" si="299"/>
        <v>17100</v>
      </c>
      <c r="BA138" s="82">
        <f t="shared" si="299"/>
        <v>15300</v>
      </c>
      <c r="BB138" s="83">
        <f t="shared" si="299"/>
        <v>13800</v>
      </c>
      <c r="BC138" s="82">
        <f t="shared" si="299"/>
        <v>12700</v>
      </c>
      <c r="BD138" s="82">
        <f t="shared" si="299"/>
        <v>11700</v>
      </c>
      <c r="BE138" s="82">
        <f t="shared" si="299"/>
        <v>10900</v>
      </c>
      <c r="BF138" s="82">
        <f t="shared" si="299"/>
        <v>10200</v>
      </c>
      <c r="BG138" s="87" t="s">
        <v>33</v>
      </c>
      <c r="BI138" s="84"/>
      <c r="BJ138" s="53"/>
      <c r="BK138" s="85">
        <v>100</v>
      </c>
      <c r="BL138" s="86" t="s">
        <v>170</v>
      </c>
      <c r="BM138" s="82">
        <f t="shared" si="300"/>
        <v>12730</v>
      </c>
      <c r="BN138" s="82">
        <f t="shared" si="300"/>
        <v>9960</v>
      </c>
      <c r="BO138" s="82">
        <f t="shared" si="300"/>
        <v>7820</v>
      </c>
      <c r="BP138" s="82">
        <f t="shared" si="300"/>
        <v>6200</v>
      </c>
      <c r="BQ138" s="83">
        <f t="shared" si="300"/>
        <v>5000</v>
      </c>
      <c r="BR138" s="82">
        <f t="shared" si="300"/>
        <v>4110</v>
      </c>
      <c r="BS138" s="82">
        <f t="shared" si="300"/>
        <v>3450</v>
      </c>
      <c r="BT138" s="82">
        <f t="shared" si="300"/>
        <v>2960</v>
      </c>
      <c r="BU138" s="82">
        <f t="shared" si="300"/>
        <v>2580</v>
      </c>
      <c r="BV138" s="87" t="s">
        <v>164</v>
      </c>
      <c r="BX138" s="84"/>
      <c r="BY138" s="53"/>
      <c r="BZ138" s="85">
        <v>100</v>
      </c>
      <c r="CA138" s="86" t="s">
        <v>170</v>
      </c>
      <c r="CB138" s="82">
        <f t="shared" si="301"/>
        <v>8900</v>
      </c>
      <c r="CC138" s="82">
        <f t="shared" si="301"/>
        <v>7400</v>
      </c>
      <c r="CD138" s="82">
        <f t="shared" si="301"/>
        <v>6350</v>
      </c>
      <c r="CE138" s="82">
        <f t="shared" si="301"/>
        <v>5590</v>
      </c>
      <c r="CF138" s="83">
        <f t="shared" si="302"/>
        <v>5000</v>
      </c>
      <c r="CG138" s="82">
        <f t="shared" si="301"/>
        <v>4540</v>
      </c>
      <c r="CH138" s="82">
        <f t="shared" si="301"/>
        <v>4160</v>
      </c>
      <c r="CI138" s="82">
        <f t="shared" si="301"/>
        <v>3850</v>
      </c>
      <c r="CJ138" s="82">
        <f t="shared" si="301"/>
        <v>3590</v>
      </c>
      <c r="CK138" s="87" t="s">
        <v>164</v>
      </c>
      <c r="CL138" s="193"/>
      <c r="CM138" s="197">
        <v>135</v>
      </c>
      <c r="CN138" s="197">
        <f t="shared" si="295"/>
        <v>-1.0305075070000684</v>
      </c>
      <c r="CO138" s="197">
        <f t="shared" si="296"/>
        <v>72.846967407727178</v>
      </c>
      <c r="CP138" s="197">
        <f t="shared" si="297"/>
        <v>-2.0018492473560578</v>
      </c>
    </row>
    <row r="139" spans="31:94" ht="15.5" x14ac:dyDescent="0.35">
      <c r="AE139" s="88"/>
      <c r="AF139" s="89"/>
      <c r="AG139" s="61"/>
      <c r="AH139" s="90" t="s">
        <v>40</v>
      </c>
      <c r="AI139" s="91">
        <f>KphToKts*(aRprime*AI119*KtsToKph-SQRT(aRprime*(aRprime*(AI119*KtsToKph)^2-$AE133*KtsToKph+bRprime*AI119*KtsToKph+cRprime)))/aRprime</f>
        <v>119.16086550783817</v>
      </c>
      <c r="AJ139" s="91">
        <f>KphToKts*(aRprime*AJ119*KtsToKph-SQRT(aRprime*(aRprime*(AJ119*KtsToKph)^2-$AE133*KtsToKph+bRprime*AJ119*KtsToKph+cRprime)))/aRprime</f>
        <v>111.00536087859597</v>
      </c>
      <c r="AK139" s="91">
        <f>KphToKts*(aRprime*AK119*KtsToKph-SQRT(aRprime*(aRprime*(AK119*KtsToKph)^2-$AE133*KtsToKph+bRprime*AK119*KtsToKph+cRprime)))/aRprime</f>
        <v>104.00770413594867</v>
      </c>
      <c r="AL139" s="91">
        <f>KphToKts*(aRprime*AL119*KtsToKph-SQRT(aRprime*(aRprime*(AL119*KtsToKph)^2-$AE133*KtsToKph+bRprime*AL119*KtsToKph+cRprime)))/aRprime</f>
        <v>98.049532748985143</v>
      </c>
      <c r="AM139" s="178">
        <f>KphToKts*(aRprime*AM132*KtsToKph-SQRT(aRprime*(aRprime*(AM132*KtsToKph)^2-$AE133*KtsToKph+bRprime*AM132*KtsToKph+cRprime)))/aRprime</f>
        <v>92.99540892128023</v>
      </c>
      <c r="AN139" s="91">
        <f>KphToKts*(aRprime*AN119*KtsToKph-SQRT(aRprime*(aRprime*(AN119*KtsToKph)^2-$AE133*KtsToKph+bRprime*AN119*KtsToKph+cRprime)))/aRprime</f>
        <v>88.709533194913078</v>
      </c>
      <c r="AO139" s="91">
        <f>KphToKts*(aRprime*AO119*KtsToKph-SQRT(aRprime*(aRprime*(AO119*KtsToKph)^2-$AE133*KtsToKph+bRprime*AO119*KtsToKph+cRprime)))/aRprime</f>
        <v>85.066635078311919</v>
      </c>
      <c r="AP139" s="91">
        <f>KphToKts*(aRprime*AP119*KtsToKph-SQRT(aRprime*(aRprime*(AP119*KtsToKph)^2-$AE133*KtsToKph+bRprime*AP119*KtsToKph+cRprime)))/aRprime</f>
        <v>81.957240363456094</v>
      </c>
      <c r="AQ139" s="91">
        <f>KphToKts*(aRprime*AQ119*KtsToKph-SQRT(aRprime*(aRprime*(AQ119*KtsToKph)^2-$AE133*KtsToKph+bRprime*AQ119*KtsToKph+cRprime)))/aRprime</f>
        <v>79.288932985932121</v>
      </c>
      <c r="AR139" s="72" t="s">
        <v>8</v>
      </c>
      <c r="AT139" s="88"/>
      <c r="AU139" s="89"/>
      <c r="AV139" s="61"/>
      <c r="AW139" s="90" t="s">
        <v>40</v>
      </c>
      <c r="AX139" s="177">
        <f t="shared" ref="AX139:BF139" si="303">KphToKts*(-1*SQRT(aRprime*(-$AT133*KtsToKph+cRprime)))/aRprime</f>
        <v>92.99540892128023</v>
      </c>
      <c r="AY139" s="177">
        <f t="shared" si="303"/>
        <v>92.99540892128023</v>
      </c>
      <c r="AZ139" s="177">
        <f t="shared" si="303"/>
        <v>92.99540892128023</v>
      </c>
      <c r="BA139" s="177">
        <f t="shared" si="303"/>
        <v>92.99540892128023</v>
      </c>
      <c r="BB139" s="178">
        <f t="shared" si="303"/>
        <v>92.99540892128023</v>
      </c>
      <c r="BC139" s="177">
        <f t="shared" si="303"/>
        <v>92.99540892128023</v>
      </c>
      <c r="BD139" s="177">
        <f t="shared" si="303"/>
        <v>92.99540892128023</v>
      </c>
      <c r="BE139" s="177">
        <f t="shared" si="303"/>
        <v>92.99540892128023</v>
      </c>
      <c r="BF139" s="177">
        <f t="shared" si="303"/>
        <v>92.99540892128023</v>
      </c>
      <c r="BG139" s="72" t="s">
        <v>8</v>
      </c>
      <c r="BI139" s="88"/>
      <c r="BJ139" s="89"/>
      <c r="BK139" s="61"/>
      <c r="BL139" s="90" t="s">
        <v>40</v>
      </c>
      <c r="BM139" s="177">
        <f t="shared" ref="BM139:BU139" si="304">(aRprime*BM132-SQRT(aRprime*(aRprime*BM132^2-$BI133*MpsToKph+bRprime*BM132+cRprime)))/aRprime</f>
        <v>224.23014809426493</v>
      </c>
      <c r="BN139" s="177">
        <f t="shared" si="304"/>
        <v>207.28130240586279</v>
      </c>
      <c r="BO139" s="177">
        <f t="shared" si="304"/>
        <v>192.9092163914288</v>
      </c>
      <c r="BP139" s="177">
        <f t="shared" si="304"/>
        <v>180.84363486477912</v>
      </c>
      <c r="BQ139" s="178">
        <f t="shared" si="304"/>
        <v>170.76334880643446</v>
      </c>
      <c r="BR139" s="177">
        <f t="shared" si="304"/>
        <v>162.34463993948819</v>
      </c>
      <c r="BS139" s="177">
        <f t="shared" si="304"/>
        <v>155.29212511961461</v>
      </c>
      <c r="BT139" s="177">
        <f t="shared" si="304"/>
        <v>149.35247921342801</v>
      </c>
      <c r="BU139" s="177">
        <f t="shared" si="304"/>
        <v>144.31653298828064</v>
      </c>
      <c r="BV139" s="72" t="s">
        <v>1</v>
      </c>
      <c r="BX139" s="88"/>
      <c r="BY139" s="89"/>
      <c r="BZ139" s="61"/>
      <c r="CA139" s="90" t="s">
        <v>40</v>
      </c>
      <c r="CB139" s="177">
        <f t="shared" ref="CB139:CJ139" si="305">(-1*SQRT(aRprime*(-$BX133*MpsToKph+cRprime)))/aRprime</f>
        <v>170.76334880643446</v>
      </c>
      <c r="CC139" s="177">
        <f t="shared" si="305"/>
        <v>170.76334880643446</v>
      </c>
      <c r="CD139" s="177">
        <f t="shared" si="305"/>
        <v>170.76334880643446</v>
      </c>
      <c r="CE139" s="177">
        <f t="shared" si="305"/>
        <v>170.76334880643446</v>
      </c>
      <c r="CF139" s="178">
        <f t="shared" si="305"/>
        <v>170.76334880643446</v>
      </c>
      <c r="CG139" s="177">
        <f t="shared" si="305"/>
        <v>170.76334880643446</v>
      </c>
      <c r="CH139" s="177">
        <f t="shared" si="305"/>
        <v>170.76334880643446</v>
      </c>
      <c r="CI139" s="177">
        <f t="shared" si="305"/>
        <v>170.76334880643446</v>
      </c>
      <c r="CJ139" s="177">
        <f t="shared" si="305"/>
        <v>170.76334880643446</v>
      </c>
      <c r="CK139" s="72" t="s">
        <v>1</v>
      </c>
      <c r="CL139" s="193"/>
      <c r="CM139" s="197">
        <v>136</v>
      </c>
      <c r="CN139" s="197">
        <f t="shared" si="295"/>
        <v>-1.0517936757108195</v>
      </c>
      <c r="CO139" s="197">
        <f t="shared" si="296"/>
        <v>73.386574573710334</v>
      </c>
      <c r="CP139" s="197">
        <f t="shared" si="297"/>
        <v>-2.0431994563775904</v>
      </c>
    </row>
    <row r="140" spans="31:94" ht="15.5" x14ac:dyDescent="0.35">
      <c r="AE140" s="84"/>
      <c r="AF140" s="62"/>
      <c r="AG140" s="63"/>
      <c r="AH140" s="92" t="s">
        <v>41</v>
      </c>
      <c r="AI140" s="190">
        <f t="shared" ref="AI140:AQ140" si="306">KphToKts*($AE133*KtsToKph-AI132*KtsToKph*(2*aRprime*AI139*KtsToKph+bRprime))</f>
        <v>18.110693480785013</v>
      </c>
      <c r="AJ140" s="190">
        <f t="shared" si="306"/>
        <v>15.029920664160242</v>
      </c>
      <c r="AK140" s="190">
        <f t="shared" si="306"/>
        <v>12.560558879297906</v>
      </c>
      <c r="AL140" s="190">
        <f t="shared" si="306"/>
        <v>10.584705842014474</v>
      </c>
      <c r="AM140" s="190">
        <f t="shared" si="306"/>
        <v>9</v>
      </c>
      <c r="AN140" s="190">
        <f t="shared" si="306"/>
        <v>7.721874347788563</v>
      </c>
      <c r="AO140" s="190">
        <f t="shared" si="306"/>
        <v>6.6829008260574279</v>
      </c>
      <c r="AP140" s="190">
        <f t="shared" si="306"/>
        <v>5.8305435947712505</v>
      </c>
      <c r="AQ140" s="190">
        <f t="shared" si="306"/>
        <v>5.1244008335612561</v>
      </c>
      <c r="AR140" s="93" t="s">
        <v>8</v>
      </c>
      <c r="AT140" s="84"/>
      <c r="AU140" s="62"/>
      <c r="AV140" s="63"/>
      <c r="AW140" s="92" t="s">
        <v>41</v>
      </c>
      <c r="AX140" s="207">
        <f t="shared" ref="AX140:BF140" si="307">$AT133</f>
        <v>9</v>
      </c>
      <c r="AY140" s="207">
        <f t="shared" si="307"/>
        <v>9</v>
      </c>
      <c r="AZ140" s="207">
        <f t="shared" si="307"/>
        <v>9</v>
      </c>
      <c r="BA140" s="207">
        <f t="shared" si="307"/>
        <v>9</v>
      </c>
      <c r="BB140" s="207">
        <f t="shared" si="307"/>
        <v>9</v>
      </c>
      <c r="BC140" s="207">
        <f t="shared" si="307"/>
        <v>9</v>
      </c>
      <c r="BD140" s="207">
        <f t="shared" si="307"/>
        <v>9</v>
      </c>
      <c r="BE140" s="207">
        <f t="shared" si="307"/>
        <v>9</v>
      </c>
      <c r="BF140" s="207">
        <f t="shared" si="307"/>
        <v>9</v>
      </c>
      <c r="BG140" s="93" t="s">
        <v>8</v>
      </c>
      <c r="BI140" s="84"/>
      <c r="BJ140" s="62"/>
      <c r="BK140" s="63"/>
      <c r="BL140" s="92" t="s">
        <v>41</v>
      </c>
      <c r="BM140" s="190">
        <f t="shared" ref="BM140:BU140" si="308">KphToMps*($BI133*MpsToKph-BM132*(2*aRprime*BM139+bRprime))</f>
        <v>9.6953711370905218</v>
      </c>
      <c r="BN140" s="190">
        <f t="shared" si="308"/>
        <v>7.89618997404407</v>
      </c>
      <c r="BO140" s="190">
        <f t="shared" si="308"/>
        <v>6.4812792174190959</v>
      </c>
      <c r="BP140" s="190">
        <f t="shared" si="308"/>
        <v>5.3719122803908963</v>
      </c>
      <c r="BQ140" s="190">
        <f t="shared" si="308"/>
        <v>4.5</v>
      </c>
      <c r="BR140" s="190">
        <f t="shared" si="308"/>
        <v>3.810120905428533</v>
      </c>
      <c r="BS140" s="190">
        <f t="shared" si="308"/>
        <v>3.259037647699552</v>
      </c>
      <c r="BT140" s="190">
        <f t="shared" si="308"/>
        <v>2.8138977813841066</v>
      </c>
      <c r="BU140" s="190">
        <f t="shared" si="308"/>
        <v>2.450081901161218</v>
      </c>
      <c r="BV140" s="93" t="s">
        <v>0</v>
      </c>
      <c r="BX140" s="84"/>
      <c r="BY140" s="62"/>
      <c r="BZ140" s="63"/>
      <c r="CA140" s="92" t="s">
        <v>41</v>
      </c>
      <c r="CB140" s="207">
        <f t="shared" ref="CB140:CE140" si="309">$BX133</f>
        <v>4.5</v>
      </c>
      <c r="CC140" s="207">
        <f t="shared" si="309"/>
        <v>4.5</v>
      </c>
      <c r="CD140" s="207">
        <f t="shared" si="309"/>
        <v>4.5</v>
      </c>
      <c r="CE140" s="207">
        <f t="shared" si="309"/>
        <v>4.5</v>
      </c>
      <c r="CF140" s="207">
        <f>$BX133</f>
        <v>4.5</v>
      </c>
      <c r="CG140" s="207">
        <f t="shared" ref="CG140:CJ140" si="310">$BX133</f>
        <v>4.5</v>
      </c>
      <c r="CH140" s="207">
        <f t="shared" si="310"/>
        <v>4.5</v>
      </c>
      <c r="CI140" s="207">
        <f t="shared" si="310"/>
        <v>4.5</v>
      </c>
      <c r="CJ140" s="207">
        <f t="shared" si="310"/>
        <v>4.5</v>
      </c>
      <c r="CK140" s="93" t="s">
        <v>0</v>
      </c>
      <c r="CL140" s="193"/>
      <c r="CM140" s="197">
        <v>137</v>
      </c>
      <c r="CN140" s="197">
        <f t="shared" si="295"/>
        <v>-1.0735718527348714</v>
      </c>
      <c r="CO140" s="197">
        <f t="shared" si="296"/>
        <v>73.926181739693504</v>
      </c>
      <c r="CP140" s="197">
        <f t="shared" si="297"/>
        <v>-2.0855054337608125</v>
      </c>
    </row>
    <row r="141" spans="31:94" ht="15.5" x14ac:dyDescent="0.35">
      <c r="AE141" s="94"/>
      <c r="AF141" s="89"/>
      <c r="AG141" s="61"/>
      <c r="AH141" s="71" t="s">
        <v>49</v>
      </c>
      <c r="AI141" s="95">
        <f t="shared" ref="AI141:AL141" si="311">AI139-AI132</f>
        <v>79.160865507838167</v>
      </c>
      <c r="AJ141" s="95">
        <f t="shared" si="311"/>
        <v>81.005360878595965</v>
      </c>
      <c r="AK141" s="95">
        <f t="shared" si="311"/>
        <v>84.007704135948671</v>
      </c>
      <c r="AL141" s="95">
        <f t="shared" si="311"/>
        <v>88.049532748985143</v>
      </c>
      <c r="AM141" s="95">
        <f>AM139-AM132</f>
        <v>92.99540892128023</v>
      </c>
      <c r="AN141" s="95">
        <f t="shared" ref="AN141:AQ141" si="312">AN139-AN132</f>
        <v>98.709533194913078</v>
      </c>
      <c r="AO141" s="95">
        <f t="shared" si="312"/>
        <v>105.06663507831192</v>
      </c>
      <c r="AP141" s="95">
        <f t="shared" si="312"/>
        <v>111.95724036345609</v>
      </c>
      <c r="AQ141" s="95">
        <f t="shared" si="312"/>
        <v>119.28893298593212</v>
      </c>
      <c r="AR141" s="96" t="s">
        <v>8</v>
      </c>
      <c r="AT141" s="94"/>
      <c r="AU141" s="89"/>
      <c r="AV141" s="61"/>
      <c r="AW141" s="71" t="s">
        <v>49</v>
      </c>
      <c r="AX141" s="95">
        <f t="shared" ref="AX141:BA141" si="313">AX139-AX132</f>
        <v>52.99540892128023</v>
      </c>
      <c r="AY141" s="95">
        <f t="shared" si="313"/>
        <v>62.99540892128023</v>
      </c>
      <c r="AZ141" s="95">
        <f t="shared" si="313"/>
        <v>72.99540892128023</v>
      </c>
      <c r="BA141" s="95">
        <f t="shared" si="313"/>
        <v>82.99540892128023</v>
      </c>
      <c r="BB141" s="95">
        <f>BB139-BB132</f>
        <v>92.99540892128023</v>
      </c>
      <c r="BC141" s="95">
        <f t="shared" ref="BC141:BF141" si="314">BC139-BC132</f>
        <v>102.99540892128023</v>
      </c>
      <c r="BD141" s="95">
        <f t="shared" si="314"/>
        <v>112.99540892128023</v>
      </c>
      <c r="BE141" s="95">
        <f t="shared" si="314"/>
        <v>122.99540892128023</v>
      </c>
      <c r="BF141" s="95">
        <f t="shared" si="314"/>
        <v>132.99540892128022</v>
      </c>
      <c r="BG141" s="96" t="s">
        <v>8</v>
      </c>
      <c r="BI141" s="94"/>
      <c r="BJ141" s="89"/>
      <c r="BK141" s="61"/>
      <c r="BL141" s="71" t="s">
        <v>49</v>
      </c>
      <c r="BM141" s="95">
        <f t="shared" ref="BM141:BP141" si="315">BM139-BM132</f>
        <v>144.23014809426493</v>
      </c>
      <c r="BN141" s="95">
        <f t="shared" si="315"/>
        <v>147.28130240586279</v>
      </c>
      <c r="BO141" s="95">
        <f t="shared" si="315"/>
        <v>152.9092163914288</v>
      </c>
      <c r="BP141" s="95">
        <f t="shared" si="315"/>
        <v>160.84363486477912</v>
      </c>
      <c r="BQ141" s="95">
        <f>BQ139-BQ132</f>
        <v>170.76334880643446</v>
      </c>
      <c r="BR141" s="95">
        <f t="shared" ref="BR141:BU141" si="316">BR139-BR132</f>
        <v>182.34463993948819</v>
      </c>
      <c r="BS141" s="95">
        <f t="shared" si="316"/>
        <v>195.29212511961461</v>
      </c>
      <c r="BT141" s="95">
        <f t="shared" si="316"/>
        <v>209.35247921342801</v>
      </c>
      <c r="BU141" s="95">
        <f t="shared" si="316"/>
        <v>224.31653298828064</v>
      </c>
      <c r="BV141" s="96" t="s">
        <v>1</v>
      </c>
      <c r="BX141" s="94"/>
      <c r="BY141" s="89"/>
      <c r="BZ141" s="61"/>
      <c r="CA141" s="71" t="s">
        <v>49</v>
      </c>
      <c r="CB141" s="95">
        <f t="shared" ref="CB141:CE141" si="317">CB139-CB132</f>
        <v>90.763348806434465</v>
      </c>
      <c r="CC141" s="95">
        <f t="shared" si="317"/>
        <v>110.76334880643446</v>
      </c>
      <c r="CD141" s="95">
        <f t="shared" si="317"/>
        <v>130.76334880643446</v>
      </c>
      <c r="CE141" s="95">
        <f t="shared" si="317"/>
        <v>150.76334880643446</v>
      </c>
      <c r="CF141" s="95">
        <f>CF139-CF132</f>
        <v>170.76334880643446</v>
      </c>
      <c r="CG141" s="95">
        <f t="shared" ref="CG141:CJ141" si="318">CG139-CG132</f>
        <v>190.76334880643446</v>
      </c>
      <c r="CH141" s="95">
        <f t="shared" si="318"/>
        <v>210.76334880643446</v>
      </c>
      <c r="CI141" s="95">
        <f t="shared" si="318"/>
        <v>230.76334880643446</v>
      </c>
      <c r="CJ141" s="95">
        <f t="shared" si="318"/>
        <v>250.76334880643446</v>
      </c>
      <c r="CK141" s="96" t="s">
        <v>1</v>
      </c>
      <c r="CL141" s="194"/>
      <c r="CM141" s="197">
        <v>138</v>
      </c>
      <c r="CN141" s="197">
        <f t="shared" si="295"/>
        <v>-1.095842038072226</v>
      </c>
      <c r="CO141" s="197">
        <f t="shared" si="296"/>
        <v>74.465788905676675</v>
      </c>
      <c r="CP141" s="197">
        <f t="shared" si="297"/>
        <v>-2.128767179505727</v>
      </c>
    </row>
    <row r="142" spans="31:94" ht="15.5" x14ac:dyDescent="0.35">
      <c r="AE142" s="84"/>
      <c r="AF142" s="89"/>
      <c r="AG142" s="61"/>
      <c r="AH142" s="71" t="s">
        <v>42</v>
      </c>
      <c r="AI142" s="95">
        <f t="shared" ref="AI142" si="319">-AI141/AI143</f>
        <v>8.766178338454969</v>
      </c>
      <c r="AJ142" s="95">
        <f t="shared" ref="AJ142" si="320">-AJ141/AJ143</f>
        <v>11.124262756273222</v>
      </c>
      <c r="AK142" s="95">
        <f t="shared" ref="AK142" si="321">-AK141/AK143</f>
        <v>14.105384476476139</v>
      </c>
      <c r="AL142" s="95">
        <f t="shared" ref="AL142" si="322">-AL141/AL143</f>
        <v>17.776074114403229</v>
      </c>
      <c r="AM142" s="95">
        <f>-AM141/AM143</f>
        <v>22.172094510121958</v>
      </c>
      <c r="AN142" s="95">
        <f t="shared" ref="AN142" si="323">-AN141/AN143</f>
        <v>27.295585031106032</v>
      </c>
      <c r="AO142" s="95">
        <f t="shared" ref="AO142" si="324">-AO141/AO143</f>
        <v>33.118028102178179</v>
      </c>
      <c r="AP142" s="95">
        <f t="shared" ref="AP142" si="325">-AP141/AP143</f>
        <v>39.587163964913216</v>
      </c>
      <c r="AQ142" s="95">
        <f t="shared" ref="AQ142" si="326">-AQ141/AQ143</f>
        <v>46.635454449216617</v>
      </c>
      <c r="AR142" s="96"/>
      <c r="AT142" s="84"/>
      <c r="AU142" s="89"/>
      <c r="AV142" s="61"/>
      <c r="AW142" s="71" t="s">
        <v>42</v>
      </c>
      <c r="AX142" s="95">
        <f t="shared" ref="AX142:BA142" si="327">-AX141/AX143</f>
        <v>12.635238973999552</v>
      </c>
      <c r="AY142" s="95">
        <f t="shared" si="327"/>
        <v>15.019452858030153</v>
      </c>
      <c r="AZ142" s="95">
        <f t="shared" si="327"/>
        <v>17.403666742060754</v>
      </c>
      <c r="BA142" s="95">
        <f t="shared" si="327"/>
        <v>19.787880626091358</v>
      </c>
      <c r="BB142" s="95">
        <f>-BB141/BB143</f>
        <v>22.172094510121958</v>
      </c>
      <c r="BC142" s="95">
        <f t="shared" ref="BC142:BF142" si="328">-BC141/BC143</f>
        <v>24.556308394152559</v>
      </c>
      <c r="BD142" s="95">
        <f t="shared" si="328"/>
        <v>26.94052227818316</v>
      </c>
      <c r="BE142" s="95">
        <f t="shared" si="328"/>
        <v>29.324736162213764</v>
      </c>
      <c r="BF142" s="95">
        <f t="shared" si="328"/>
        <v>31.708950046244361</v>
      </c>
      <c r="BG142" s="96"/>
      <c r="BI142" s="84"/>
      <c r="BJ142" s="89"/>
      <c r="BK142" s="61"/>
      <c r="BL142" s="71" t="s">
        <v>42</v>
      </c>
      <c r="BM142" s="95">
        <f>-BM141/BM143/MpsToKph</f>
        <v>8.2324028765475514</v>
      </c>
      <c r="BN142" s="95">
        <f>-BN141/BN143/MpsToKph</f>
        <v>10.663504246307092</v>
      </c>
      <c r="BO142" s="95">
        <f>-BO141/BO143/MpsToKph</f>
        <v>13.817896891241299</v>
      </c>
      <c r="BP142" s="95">
        <f>-BP141/BP143/MpsToKph</f>
        <v>17.785596162937992</v>
      </c>
      <c r="BQ142" s="95">
        <f>-BQ141/BQ143/MpsToKph</f>
        <v>22.613396991473252</v>
      </c>
      <c r="BR142" s="95">
        <f>-BR141/BR143/MpsToKph</f>
        <v>28.30016504950266</v>
      </c>
      <c r="BS142" s="95">
        <f>-BS141/BS143/MpsToKph</f>
        <v>34.802027455853697</v>
      </c>
      <c r="BT142" s="95">
        <f>-BT141/BT143/MpsToKph</f>
        <v>42.043878233725067</v>
      </c>
      <c r="BU142" s="95">
        <f>-BU141/BU143/MpsToKph</f>
        <v>49.932744036277271</v>
      </c>
      <c r="BV142" s="96"/>
      <c r="BX142" s="84"/>
      <c r="BY142" s="89"/>
      <c r="BZ142" s="61"/>
      <c r="CA142" s="71" t="s">
        <v>42</v>
      </c>
      <c r="CB142" s="95">
        <f>-CB141/CB143/MpsToKph</f>
        <v>12.019368636076573</v>
      </c>
      <c r="CC142" s="95">
        <f>-CC141/CC143/MpsToKph</f>
        <v>14.667875724925743</v>
      </c>
      <c r="CD142" s="95">
        <f>-CD141/CD143/MpsToKph</f>
        <v>17.316382813774911</v>
      </c>
      <c r="CE142" s="95">
        <f>-CE141/CE143/MpsToKph</f>
        <v>19.96488990262408</v>
      </c>
      <c r="CF142" s="95">
        <f>-CF141/CF143/MpsToKph</f>
        <v>22.613396991473252</v>
      </c>
      <c r="CG142" s="95">
        <f>-CG141/CG143/MpsToKph</f>
        <v>25.26190408032242</v>
      </c>
      <c r="CH142" s="95">
        <f>-CH141/CH143/MpsToKph</f>
        <v>27.910411169171589</v>
      </c>
      <c r="CI142" s="95">
        <f>-CI141/CI143/MpsToKph</f>
        <v>30.558918258020757</v>
      </c>
      <c r="CJ142" s="95">
        <f>-CJ141/CJ143/MpsToKph</f>
        <v>33.207425346869925</v>
      </c>
      <c r="CK142" s="96"/>
      <c r="CL142" s="194"/>
      <c r="CM142" s="197">
        <v>139</v>
      </c>
      <c r="CN142" s="197">
        <f t="shared" si="295"/>
        <v>-1.1186042317228824</v>
      </c>
      <c r="CO142" s="197">
        <f t="shared" si="296"/>
        <v>75.005396071659831</v>
      </c>
      <c r="CP142" s="197">
        <f t="shared" si="297"/>
        <v>-2.1729846936123334</v>
      </c>
    </row>
    <row r="143" spans="31:94" ht="16" thickBot="1" x14ac:dyDescent="0.4">
      <c r="AE143" s="97"/>
      <c r="AF143" s="64"/>
      <c r="AG143" s="65"/>
      <c r="AH143" s="98" t="s">
        <v>43</v>
      </c>
      <c r="AI143" s="191">
        <f t="shared" ref="AI143:AQ143" si="329">KphToKts*(aRprime*(AI139*KtsToKph)^2+bRprime*AI139*KtsToKph+cRprime)</f>
        <v>-9.0302595328890156</v>
      </c>
      <c r="AJ143" s="191">
        <f t="shared" si="329"/>
        <v>-7.2818633156534549</v>
      </c>
      <c r="AK143" s="191">
        <f t="shared" si="329"/>
        <v>-5.9557188445341689</v>
      </c>
      <c r="AL143" s="191">
        <f t="shared" si="329"/>
        <v>-4.9532608933961519</v>
      </c>
      <c r="AM143" s="191">
        <f t="shared" si="329"/>
        <v>-4.1942545788277315</v>
      </c>
      <c r="AN143" s="191">
        <f t="shared" si="329"/>
        <v>-3.6163186494234782</v>
      </c>
      <c r="AO143" s="191">
        <f t="shared" si="329"/>
        <v>-3.172490667444106</v>
      </c>
      <c r="AP143" s="191">
        <f t="shared" si="329"/>
        <v>-2.8281197527230222</v>
      </c>
      <c r="AQ143" s="191">
        <f t="shared" si="329"/>
        <v>-2.5579022311411386</v>
      </c>
      <c r="AR143" s="99" t="s">
        <v>8</v>
      </c>
      <c r="AT143" s="97"/>
      <c r="AU143" s="64"/>
      <c r="AV143" s="65"/>
      <c r="AW143" s="98" t="s">
        <v>43</v>
      </c>
      <c r="AX143" s="191">
        <f t="shared" ref="AX143:BF143" si="330">KphToKts*(aRprime*(AX139*KtsToKph)^2+bRprime*AX139*KtsToKph+cRprime)</f>
        <v>-4.1942545788277315</v>
      </c>
      <c r="AY143" s="191">
        <f t="shared" si="330"/>
        <v>-4.1942545788277315</v>
      </c>
      <c r="AZ143" s="191">
        <f t="shared" si="330"/>
        <v>-4.1942545788277315</v>
      </c>
      <c r="BA143" s="191">
        <f t="shared" si="330"/>
        <v>-4.1942545788277315</v>
      </c>
      <c r="BB143" s="191">
        <f t="shared" si="330"/>
        <v>-4.1942545788277315</v>
      </c>
      <c r="BC143" s="191">
        <f t="shared" si="330"/>
        <v>-4.1942545788277315</v>
      </c>
      <c r="BD143" s="191">
        <f t="shared" si="330"/>
        <v>-4.1942545788277315</v>
      </c>
      <c r="BE143" s="191">
        <f t="shared" si="330"/>
        <v>-4.1942545788277315</v>
      </c>
      <c r="BF143" s="191">
        <f t="shared" si="330"/>
        <v>-4.1942545788277315</v>
      </c>
      <c r="BG143" s="99" t="s">
        <v>8</v>
      </c>
      <c r="BI143" s="97"/>
      <c r="BJ143" s="64"/>
      <c r="BK143" s="65"/>
      <c r="BL143" s="98" t="s">
        <v>43</v>
      </c>
      <c r="BM143" s="191">
        <f>KphToMps*(aRprime*BM139^2+bRprime*BM139+cRprime)</f>
        <v>-4.8666143563404463</v>
      </c>
      <c r="BN143" s="191">
        <f>KphToMps*(aRprime*BN139^2+bRprime*BN139+cRprime)</f>
        <v>-3.8365880432490669</v>
      </c>
      <c r="BO143" s="191">
        <f>KphToMps*(aRprime*BO139^2+bRprime*BO139+cRprime)</f>
        <v>-3.0738963147044309</v>
      </c>
      <c r="BP143" s="191">
        <f>KphToMps*(aRprime*BP139^2+bRprime*BP139+cRprime)</f>
        <v>-2.512077023065511</v>
      </c>
      <c r="BQ143" s="191">
        <f>KphToMps*(aRprime*BQ139^2+bRprime*BQ139+cRprime)</f>
        <v>-2.0976177783120673</v>
      </c>
      <c r="BR143" s="191">
        <f>KphToMps*(aRprime*BR139^2+bRprime*BR139+cRprime)</f>
        <v>-1.7897877550707142</v>
      </c>
      <c r="BS143" s="191">
        <f>KphToMps*(aRprime*BS139^2+bRprime*BS139+cRprime)</f>
        <v>-1.5587543743547563</v>
      </c>
      <c r="BT143" s="191">
        <f>KphToMps*(aRprime*BT139^2+bRprime*BT139+cRprime)</f>
        <v>-1.3831613279083099</v>
      </c>
      <c r="BU143" s="191">
        <f>KphToMps*(aRprime*BU139^2+bRprime*BU139+cRprime)</f>
        <v>-1.2478815105180368</v>
      </c>
      <c r="BV143" s="99" t="s">
        <v>0</v>
      </c>
      <c r="BX143" s="97"/>
      <c r="BY143" s="64"/>
      <c r="BZ143" s="65"/>
      <c r="CA143" s="98" t="s">
        <v>43</v>
      </c>
      <c r="CB143" s="191">
        <f>KphToMps*(aRprime*CB139^2+bRprime*CB139+cRprime)</f>
        <v>-2.0976177783120673</v>
      </c>
      <c r="CC143" s="191">
        <f>KphToMps*(aRprime*CC139^2+bRprime*CC139+cRprime)</f>
        <v>-2.0976177783120673</v>
      </c>
      <c r="CD143" s="191">
        <f>KphToMps*(aRprime*CD139^2+bRprime*CD139+cRprime)</f>
        <v>-2.0976177783120673</v>
      </c>
      <c r="CE143" s="191">
        <f>KphToMps*(aRprime*CE139^2+bRprime*CE139+cRprime)</f>
        <v>-2.0976177783120673</v>
      </c>
      <c r="CF143" s="191">
        <f>KphToMps*(aRprime*CF139^2+bRprime*CF139+cRprime)</f>
        <v>-2.0976177783120673</v>
      </c>
      <c r="CG143" s="191">
        <f>KphToMps*(aRprime*CG139^2+bRprime*CG139+cRprime)</f>
        <v>-2.0976177783120673</v>
      </c>
      <c r="CH143" s="191">
        <f>KphToMps*(aRprime*CH139^2+bRprime*CH139+cRprime)</f>
        <v>-2.0976177783120673</v>
      </c>
      <c r="CI143" s="191">
        <f>KphToMps*(aRprime*CI139^2+bRprime*CI139+cRprime)</f>
        <v>-2.0976177783120673</v>
      </c>
      <c r="CJ143" s="191">
        <f>KphToMps*(aRprime*CJ139^2+bRprime*CJ139+cRprime)</f>
        <v>-2.0976177783120673</v>
      </c>
      <c r="CK143" s="99" t="s">
        <v>0</v>
      </c>
      <c r="CL143" s="194"/>
      <c r="CM143" s="197">
        <v>140</v>
      </c>
      <c r="CN143" s="197">
        <f t="shared" si="295"/>
        <v>-1.1418584336868416</v>
      </c>
      <c r="CO143" s="197">
        <f t="shared" si="296"/>
        <v>75.545003237643002</v>
      </c>
      <c r="CP143" s="197">
        <f t="shared" si="297"/>
        <v>-2.2181579760806334</v>
      </c>
    </row>
    <row r="144" spans="31:94" ht="16" thickTop="1" x14ac:dyDescent="0.35">
      <c r="AE144" s="66" t="s">
        <v>16</v>
      </c>
      <c r="AF144" s="67"/>
      <c r="AG144" s="68"/>
      <c r="AH144" s="69"/>
      <c r="AI144" s="45" t="s">
        <v>34</v>
      </c>
      <c r="AJ144" s="51"/>
      <c r="AK144" s="51"/>
      <c r="AL144" s="51"/>
      <c r="AM144" s="70" t="s">
        <v>35</v>
      </c>
      <c r="AN144" s="51"/>
      <c r="AO144" s="51"/>
      <c r="AP144" s="51"/>
      <c r="AQ144" s="71" t="s">
        <v>36</v>
      </c>
      <c r="AR144" s="72" t="s">
        <v>37</v>
      </c>
      <c r="AT144" s="66" t="s">
        <v>16</v>
      </c>
      <c r="AU144" s="67"/>
      <c r="AV144" s="68"/>
      <c r="AW144" s="69"/>
      <c r="AX144" s="45" t="s">
        <v>34</v>
      </c>
      <c r="AY144" s="51"/>
      <c r="AZ144" s="51"/>
      <c r="BA144" s="51"/>
      <c r="BB144" s="70" t="s">
        <v>35</v>
      </c>
      <c r="BC144" s="51"/>
      <c r="BD144" s="51"/>
      <c r="BE144" s="51"/>
      <c r="BF144" s="71" t="s">
        <v>36</v>
      </c>
      <c r="BG144" s="72" t="s">
        <v>37</v>
      </c>
      <c r="BI144" s="66" t="s">
        <v>16</v>
      </c>
      <c r="BJ144" s="67"/>
      <c r="BK144" s="68"/>
      <c r="BL144" s="69"/>
      <c r="BM144" s="45" t="s">
        <v>34</v>
      </c>
      <c r="BN144" s="51"/>
      <c r="BO144" s="51"/>
      <c r="BP144" s="51"/>
      <c r="BQ144" s="70" t="s">
        <v>35</v>
      </c>
      <c r="BR144" s="51"/>
      <c r="BS144" s="51"/>
      <c r="BT144" s="51"/>
      <c r="BU144" s="71" t="s">
        <v>36</v>
      </c>
      <c r="BV144" s="72" t="s">
        <v>37</v>
      </c>
      <c r="BX144" s="66" t="s">
        <v>16</v>
      </c>
      <c r="BY144" s="67"/>
      <c r="BZ144" s="68"/>
      <c r="CA144" s="69"/>
      <c r="CB144" s="45" t="s">
        <v>34</v>
      </c>
      <c r="CC144" s="51"/>
      <c r="CD144" s="51"/>
      <c r="CE144" s="51"/>
      <c r="CF144" s="70" t="s">
        <v>35</v>
      </c>
      <c r="CG144" s="51"/>
      <c r="CH144" s="51"/>
      <c r="CI144" s="51"/>
      <c r="CJ144" s="71" t="s">
        <v>36</v>
      </c>
      <c r="CK144" s="72" t="s">
        <v>37</v>
      </c>
      <c r="CL144" s="193"/>
      <c r="CM144" s="197">
        <v>141</v>
      </c>
      <c r="CN144" s="197">
        <f t="shared" si="295"/>
        <v>-1.1656046439641015</v>
      </c>
      <c r="CO144" s="197">
        <f t="shared" si="296"/>
        <v>76.084610403626158</v>
      </c>
      <c r="CP144" s="197">
        <f t="shared" si="297"/>
        <v>-2.2642870269106221</v>
      </c>
    </row>
    <row r="145" spans="31:94" ht="15.5" x14ac:dyDescent="0.35">
      <c r="AE145" s="73" t="s">
        <v>8</v>
      </c>
      <c r="AF145" s="74"/>
      <c r="AG145" s="75"/>
      <c r="AH145" s="76"/>
      <c r="AI145" s="77">
        <v>40</v>
      </c>
      <c r="AJ145" s="78">
        <v>30</v>
      </c>
      <c r="AK145" s="78">
        <v>20</v>
      </c>
      <c r="AL145" s="78">
        <v>10</v>
      </c>
      <c r="AM145" s="78">
        <v>0</v>
      </c>
      <c r="AN145" s="78">
        <v>-10</v>
      </c>
      <c r="AO145" s="78">
        <v>-20</v>
      </c>
      <c r="AP145" s="78">
        <v>-30</v>
      </c>
      <c r="AQ145" s="79">
        <v>-40</v>
      </c>
      <c r="AR145" s="80" t="s">
        <v>8</v>
      </c>
      <c r="AT145" s="73" t="s">
        <v>8</v>
      </c>
      <c r="AU145" s="74"/>
      <c r="AV145" s="75"/>
      <c r="AW145" s="76"/>
      <c r="AX145" s="77">
        <v>40</v>
      </c>
      <c r="AY145" s="78">
        <v>30</v>
      </c>
      <c r="AZ145" s="78">
        <v>20</v>
      </c>
      <c r="BA145" s="78">
        <v>10</v>
      </c>
      <c r="BB145" s="78">
        <v>0</v>
      </c>
      <c r="BC145" s="78">
        <v>-10</v>
      </c>
      <c r="BD145" s="78">
        <v>-20</v>
      </c>
      <c r="BE145" s="78">
        <v>-30</v>
      </c>
      <c r="BF145" s="79">
        <v>-40</v>
      </c>
      <c r="BG145" s="80" t="s">
        <v>8</v>
      </c>
      <c r="BI145" s="73" t="s">
        <v>0</v>
      </c>
      <c r="BJ145" s="74"/>
      <c r="BK145" s="75"/>
      <c r="BL145" s="76"/>
      <c r="BM145" s="77">
        <v>80</v>
      </c>
      <c r="BN145" s="78">
        <v>60</v>
      </c>
      <c r="BO145" s="78">
        <v>40</v>
      </c>
      <c r="BP145" s="78">
        <v>20</v>
      </c>
      <c r="BQ145" s="78">
        <v>0</v>
      </c>
      <c r="BR145" s="78">
        <v>-20</v>
      </c>
      <c r="BS145" s="78">
        <v>-40</v>
      </c>
      <c r="BT145" s="78">
        <v>-60</v>
      </c>
      <c r="BU145" s="79">
        <v>-80</v>
      </c>
      <c r="BV145" s="80" t="s">
        <v>1</v>
      </c>
      <c r="BX145" s="73" t="s">
        <v>0</v>
      </c>
      <c r="BY145" s="74"/>
      <c r="BZ145" s="75"/>
      <c r="CA145" s="76"/>
      <c r="CB145" s="77">
        <v>80</v>
      </c>
      <c r="CC145" s="78">
        <v>60</v>
      </c>
      <c r="CD145" s="78">
        <v>40</v>
      </c>
      <c r="CE145" s="78">
        <v>20</v>
      </c>
      <c r="CF145" s="78">
        <v>0</v>
      </c>
      <c r="CG145" s="78">
        <v>-20</v>
      </c>
      <c r="CH145" s="78">
        <v>-40</v>
      </c>
      <c r="CI145" s="78">
        <v>-60</v>
      </c>
      <c r="CJ145" s="79">
        <v>-80</v>
      </c>
      <c r="CK145" s="80" t="s">
        <v>1</v>
      </c>
      <c r="CL145" s="193"/>
      <c r="CM145" s="197">
        <v>142</v>
      </c>
      <c r="CN145" s="197">
        <f t="shared" si="295"/>
        <v>-1.1898428625546629</v>
      </c>
      <c r="CO145" s="197">
        <f t="shared" si="296"/>
        <v>76.624217569609328</v>
      </c>
      <c r="CP145" s="197">
        <f t="shared" si="297"/>
        <v>-2.3113718461023023</v>
      </c>
    </row>
    <row r="146" spans="31:94" ht="15.5" x14ac:dyDescent="0.35">
      <c r="AE146" s="66">
        <v>10</v>
      </c>
      <c r="AF146" s="81" t="s">
        <v>38</v>
      </c>
      <c r="AG146" s="60">
        <v>5</v>
      </c>
      <c r="AH146" s="71" t="s">
        <v>39</v>
      </c>
      <c r="AI146" s="82">
        <f t="shared" ref="AI146:AQ151" si="331">ROUND($AG146*SmiToFt/AI$155+$AI$11+$AI$12,-2)</f>
        <v>5100</v>
      </c>
      <c r="AJ146" s="82">
        <f t="shared" si="331"/>
        <v>4400</v>
      </c>
      <c r="AK146" s="82">
        <f t="shared" si="331"/>
        <v>3900</v>
      </c>
      <c r="AL146" s="82">
        <f t="shared" si="331"/>
        <v>3500</v>
      </c>
      <c r="AM146" s="83">
        <f t="shared" si="331"/>
        <v>3200</v>
      </c>
      <c r="AN146" s="82">
        <f t="shared" si="331"/>
        <v>3000</v>
      </c>
      <c r="AO146" s="82">
        <f t="shared" si="331"/>
        <v>2800</v>
      </c>
      <c r="AP146" s="82">
        <f t="shared" si="331"/>
        <v>2600</v>
      </c>
      <c r="AQ146" s="82">
        <f t="shared" si="331"/>
        <v>2500</v>
      </c>
      <c r="AR146" s="72" t="s">
        <v>33</v>
      </c>
      <c r="AT146" s="66">
        <v>10</v>
      </c>
      <c r="AU146" s="81" t="s">
        <v>38</v>
      </c>
      <c r="AV146" s="60">
        <v>5</v>
      </c>
      <c r="AW146" s="71" t="s">
        <v>39</v>
      </c>
      <c r="AX146" s="82">
        <f t="shared" ref="AX146:BF151" si="332">ROUND($AV146*SmiToFt/AX$155+$AX$11+$AX$12,-2)</f>
        <v>4100</v>
      </c>
      <c r="AY146" s="82">
        <f t="shared" si="332"/>
        <v>3800</v>
      </c>
      <c r="AZ146" s="82">
        <f t="shared" si="332"/>
        <v>3500</v>
      </c>
      <c r="BA146" s="82">
        <f t="shared" si="332"/>
        <v>3300</v>
      </c>
      <c r="BB146" s="83">
        <f t="shared" si="332"/>
        <v>3200</v>
      </c>
      <c r="BC146" s="82">
        <f t="shared" si="332"/>
        <v>3100</v>
      </c>
      <c r="BD146" s="82">
        <f t="shared" si="332"/>
        <v>3000</v>
      </c>
      <c r="BE146" s="82">
        <f t="shared" si="332"/>
        <v>2900</v>
      </c>
      <c r="BF146" s="82">
        <f t="shared" si="332"/>
        <v>2800</v>
      </c>
      <c r="BG146" s="72" t="s">
        <v>33</v>
      </c>
      <c r="BI146" s="66">
        <v>5</v>
      </c>
      <c r="BJ146" s="81" t="s">
        <v>38</v>
      </c>
      <c r="BK146" s="60">
        <v>10</v>
      </c>
      <c r="BL146" s="71" t="s">
        <v>170</v>
      </c>
      <c r="BM146" s="82">
        <f t="shared" ref="BM146:BU151" si="333">ROUND($BK146*1000/BM$155+$BM$11+$BM$12,-1)</f>
        <v>1850</v>
      </c>
      <c r="BN146" s="82">
        <f t="shared" si="333"/>
        <v>1570</v>
      </c>
      <c r="BO146" s="82">
        <f t="shared" si="333"/>
        <v>1350</v>
      </c>
      <c r="BP146" s="82">
        <f t="shared" si="333"/>
        <v>1180</v>
      </c>
      <c r="BQ146" s="83">
        <f t="shared" si="333"/>
        <v>1060</v>
      </c>
      <c r="BR146" s="82">
        <f t="shared" si="333"/>
        <v>960</v>
      </c>
      <c r="BS146" s="82">
        <f t="shared" si="333"/>
        <v>890</v>
      </c>
      <c r="BT146" s="82">
        <f t="shared" si="333"/>
        <v>840</v>
      </c>
      <c r="BU146" s="82">
        <f t="shared" si="333"/>
        <v>800</v>
      </c>
      <c r="BV146" s="72" t="s">
        <v>164</v>
      </c>
      <c r="BX146" s="66">
        <v>5</v>
      </c>
      <c r="BY146" s="81" t="s">
        <v>38</v>
      </c>
      <c r="BZ146" s="60">
        <v>10</v>
      </c>
      <c r="CA146" s="71" t="s">
        <v>170</v>
      </c>
      <c r="CB146" s="82">
        <f t="shared" ref="CB146:CJ151" si="334">ROUND($BZ146*1000/CB$155+$CB$11+$CB$12,-1)</f>
        <v>1450</v>
      </c>
      <c r="CC146" s="82">
        <f t="shared" si="334"/>
        <v>1300</v>
      </c>
      <c r="CD146" s="82">
        <f t="shared" si="334"/>
        <v>1190</v>
      </c>
      <c r="CE146" s="82">
        <f t="shared" si="334"/>
        <v>1120</v>
      </c>
      <c r="CF146" s="83">
        <f>ROUND($BZ146*1000/CF$155+$CB$11+$CB$12,-1)</f>
        <v>1060</v>
      </c>
      <c r="CG146" s="82">
        <f t="shared" si="334"/>
        <v>1010</v>
      </c>
      <c r="CH146" s="82">
        <f t="shared" si="334"/>
        <v>970</v>
      </c>
      <c r="CI146" s="82">
        <f t="shared" si="334"/>
        <v>930</v>
      </c>
      <c r="CJ146" s="82">
        <f t="shared" si="334"/>
        <v>910</v>
      </c>
      <c r="CK146" s="72" t="s">
        <v>164</v>
      </c>
      <c r="CL146" s="193"/>
      <c r="CM146" s="197">
        <v>143</v>
      </c>
      <c r="CN146" s="197">
        <f t="shared" si="295"/>
        <v>-1.2145730894585263</v>
      </c>
      <c r="CO146" s="197">
        <f t="shared" si="296"/>
        <v>77.163824735592485</v>
      </c>
      <c r="CP146" s="197">
        <f t="shared" si="297"/>
        <v>-2.3594124336556739</v>
      </c>
    </row>
    <row r="147" spans="31:94" ht="15.5" x14ac:dyDescent="0.35">
      <c r="AE147" s="84"/>
      <c r="AF147" s="53"/>
      <c r="AG147" s="85">
        <v>10</v>
      </c>
      <c r="AH147" s="86" t="s">
        <v>39</v>
      </c>
      <c r="AI147" s="82">
        <f t="shared" si="331"/>
        <v>8200</v>
      </c>
      <c r="AJ147" s="82">
        <f t="shared" si="331"/>
        <v>6900</v>
      </c>
      <c r="AK147" s="82">
        <f t="shared" si="331"/>
        <v>5900</v>
      </c>
      <c r="AL147" s="82">
        <f t="shared" si="331"/>
        <v>5100</v>
      </c>
      <c r="AM147" s="83">
        <f t="shared" si="331"/>
        <v>4500</v>
      </c>
      <c r="AN147" s="82">
        <f t="shared" si="331"/>
        <v>4000</v>
      </c>
      <c r="AO147" s="82">
        <f t="shared" si="331"/>
        <v>3600</v>
      </c>
      <c r="AP147" s="82">
        <f t="shared" si="331"/>
        <v>3400</v>
      </c>
      <c r="AQ147" s="82">
        <f t="shared" si="331"/>
        <v>3100</v>
      </c>
      <c r="AR147" s="87" t="s">
        <v>33</v>
      </c>
      <c r="AT147" s="84"/>
      <c r="AU147" s="53"/>
      <c r="AV147" s="85">
        <v>10</v>
      </c>
      <c r="AW147" s="86" t="s">
        <v>39</v>
      </c>
      <c r="AX147" s="82">
        <f t="shared" si="332"/>
        <v>6300</v>
      </c>
      <c r="AY147" s="82">
        <f t="shared" si="332"/>
        <v>5600</v>
      </c>
      <c r="AZ147" s="82">
        <f t="shared" si="332"/>
        <v>5200</v>
      </c>
      <c r="BA147" s="82">
        <f t="shared" si="332"/>
        <v>4800</v>
      </c>
      <c r="BB147" s="83">
        <f t="shared" si="332"/>
        <v>4500</v>
      </c>
      <c r="BC147" s="82">
        <f t="shared" si="332"/>
        <v>4200</v>
      </c>
      <c r="BD147" s="82">
        <f t="shared" si="332"/>
        <v>4000</v>
      </c>
      <c r="BE147" s="82">
        <f t="shared" si="332"/>
        <v>3900</v>
      </c>
      <c r="BF147" s="82">
        <f t="shared" si="332"/>
        <v>3700</v>
      </c>
      <c r="BG147" s="87" t="s">
        <v>33</v>
      </c>
      <c r="BI147" s="84"/>
      <c r="BJ147" s="53"/>
      <c r="BK147" s="85">
        <v>20</v>
      </c>
      <c r="BL147" s="86" t="s">
        <v>170</v>
      </c>
      <c r="BM147" s="82">
        <f t="shared" si="333"/>
        <v>3120</v>
      </c>
      <c r="BN147" s="82">
        <f t="shared" si="333"/>
        <v>2560</v>
      </c>
      <c r="BO147" s="82">
        <f t="shared" si="333"/>
        <v>2120</v>
      </c>
      <c r="BP147" s="82">
        <f t="shared" si="333"/>
        <v>1780</v>
      </c>
      <c r="BQ147" s="83">
        <f t="shared" si="333"/>
        <v>1530</v>
      </c>
      <c r="BR147" s="82">
        <f t="shared" si="333"/>
        <v>1340</v>
      </c>
      <c r="BS147" s="82">
        <f t="shared" si="333"/>
        <v>1200</v>
      </c>
      <c r="BT147" s="82">
        <f t="shared" si="333"/>
        <v>1090</v>
      </c>
      <c r="BU147" s="82">
        <f t="shared" si="333"/>
        <v>1010</v>
      </c>
      <c r="BV147" s="87" t="s">
        <v>164</v>
      </c>
      <c r="BX147" s="84"/>
      <c r="BY147" s="53"/>
      <c r="BZ147" s="85">
        <v>20</v>
      </c>
      <c r="CA147" s="86" t="s">
        <v>170</v>
      </c>
      <c r="CB147" s="82">
        <f t="shared" si="334"/>
        <v>2320</v>
      </c>
      <c r="CC147" s="82">
        <f t="shared" si="334"/>
        <v>2020</v>
      </c>
      <c r="CD147" s="82">
        <f t="shared" si="334"/>
        <v>1810</v>
      </c>
      <c r="CE147" s="82">
        <f t="shared" si="334"/>
        <v>1650</v>
      </c>
      <c r="CF147" s="83">
        <f t="shared" ref="CF147:CF151" si="335">ROUND($BZ147*1000/CF$155+$CB$11+$CB$12,-1)</f>
        <v>1530</v>
      </c>
      <c r="CG147" s="82">
        <f t="shared" si="334"/>
        <v>1430</v>
      </c>
      <c r="CH147" s="82">
        <f t="shared" si="334"/>
        <v>1360</v>
      </c>
      <c r="CI147" s="82">
        <f t="shared" si="334"/>
        <v>1290</v>
      </c>
      <c r="CJ147" s="82">
        <f t="shared" si="334"/>
        <v>1230</v>
      </c>
      <c r="CK147" s="87" t="s">
        <v>164</v>
      </c>
      <c r="CL147" s="193"/>
      <c r="CM147" s="197">
        <v>144</v>
      </c>
      <c r="CN147" s="197">
        <f t="shared" si="295"/>
        <v>-1.2397953246756923</v>
      </c>
      <c r="CO147" s="197">
        <f t="shared" si="296"/>
        <v>77.703431901575655</v>
      </c>
      <c r="CP147" s="197">
        <f t="shared" si="297"/>
        <v>-2.4084087895707387</v>
      </c>
    </row>
    <row r="148" spans="31:94" ht="15.5" x14ac:dyDescent="0.35">
      <c r="AE148" s="84"/>
      <c r="AF148" s="53"/>
      <c r="AG148" s="85">
        <v>20</v>
      </c>
      <c r="AH148" s="86" t="s">
        <v>39</v>
      </c>
      <c r="AI148" s="82">
        <f t="shared" si="331"/>
        <v>14500</v>
      </c>
      <c r="AJ148" s="82">
        <f t="shared" si="331"/>
        <v>11900</v>
      </c>
      <c r="AK148" s="82">
        <f t="shared" si="331"/>
        <v>9900</v>
      </c>
      <c r="AL148" s="82">
        <f t="shared" si="331"/>
        <v>8300</v>
      </c>
      <c r="AM148" s="83">
        <f t="shared" si="331"/>
        <v>7000</v>
      </c>
      <c r="AN148" s="82">
        <f t="shared" si="331"/>
        <v>6100</v>
      </c>
      <c r="AO148" s="82">
        <f t="shared" si="331"/>
        <v>5400</v>
      </c>
      <c r="AP148" s="82">
        <f t="shared" si="331"/>
        <v>4800</v>
      </c>
      <c r="AQ148" s="82">
        <f t="shared" si="331"/>
        <v>4400</v>
      </c>
      <c r="AR148" s="87" t="s">
        <v>33</v>
      </c>
      <c r="AT148" s="84"/>
      <c r="AU148" s="53"/>
      <c r="AV148" s="85">
        <v>20</v>
      </c>
      <c r="AW148" s="86" t="s">
        <v>39</v>
      </c>
      <c r="AX148" s="82">
        <f t="shared" si="332"/>
        <v>10700</v>
      </c>
      <c r="AY148" s="82">
        <f t="shared" si="332"/>
        <v>9400</v>
      </c>
      <c r="AZ148" s="82">
        <f t="shared" si="332"/>
        <v>8400</v>
      </c>
      <c r="BA148" s="82">
        <f t="shared" si="332"/>
        <v>7600</v>
      </c>
      <c r="BB148" s="83">
        <f t="shared" si="332"/>
        <v>7000</v>
      </c>
      <c r="BC148" s="82">
        <f t="shared" si="332"/>
        <v>6600</v>
      </c>
      <c r="BD148" s="82">
        <f t="shared" si="332"/>
        <v>6200</v>
      </c>
      <c r="BE148" s="82">
        <f t="shared" si="332"/>
        <v>5800</v>
      </c>
      <c r="BF148" s="82">
        <f t="shared" si="332"/>
        <v>5500</v>
      </c>
      <c r="BG148" s="87" t="s">
        <v>33</v>
      </c>
      <c r="BI148" s="84"/>
      <c r="BJ148" s="53"/>
      <c r="BK148" s="85">
        <v>30</v>
      </c>
      <c r="BL148" s="86" t="s">
        <v>170</v>
      </c>
      <c r="BM148" s="82">
        <f t="shared" si="333"/>
        <v>4390</v>
      </c>
      <c r="BN148" s="82">
        <f t="shared" si="333"/>
        <v>3550</v>
      </c>
      <c r="BO148" s="82">
        <f t="shared" si="333"/>
        <v>2890</v>
      </c>
      <c r="BP148" s="82">
        <f t="shared" si="333"/>
        <v>2380</v>
      </c>
      <c r="BQ148" s="83">
        <f t="shared" si="333"/>
        <v>2010</v>
      </c>
      <c r="BR148" s="82">
        <f t="shared" si="333"/>
        <v>1720</v>
      </c>
      <c r="BS148" s="82">
        <f t="shared" si="333"/>
        <v>1510</v>
      </c>
      <c r="BT148" s="82">
        <f t="shared" si="333"/>
        <v>1350</v>
      </c>
      <c r="BU148" s="82">
        <f t="shared" si="333"/>
        <v>1230</v>
      </c>
      <c r="BV148" s="87" t="s">
        <v>164</v>
      </c>
      <c r="BX148" s="84"/>
      <c r="BY148" s="53"/>
      <c r="BZ148" s="85">
        <v>30</v>
      </c>
      <c r="CA148" s="86" t="s">
        <v>170</v>
      </c>
      <c r="CB148" s="82">
        <f t="shared" si="334"/>
        <v>3190</v>
      </c>
      <c r="CC148" s="82">
        <f t="shared" si="334"/>
        <v>2740</v>
      </c>
      <c r="CD148" s="82">
        <f t="shared" si="334"/>
        <v>2420</v>
      </c>
      <c r="CE148" s="82">
        <f t="shared" si="334"/>
        <v>2190</v>
      </c>
      <c r="CF148" s="83">
        <f t="shared" si="335"/>
        <v>2010</v>
      </c>
      <c r="CG148" s="82">
        <f t="shared" si="334"/>
        <v>1860</v>
      </c>
      <c r="CH148" s="82">
        <f t="shared" si="334"/>
        <v>1740</v>
      </c>
      <c r="CI148" s="82">
        <f t="shared" si="334"/>
        <v>1640</v>
      </c>
      <c r="CJ148" s="82">
        <f t="shared" si="334"/>
        <v>1560</v>
      </c>
      <c r="CK148" s="87" t="s">
        <v>164</v>
      </c>
      <c r="CL148" s="193"/>
      <c r="CM148" s="197">
        <v>145</v>
      </c>
      <c r="CN148" s="197">
        <f t="shared" si="295"/>
        <v>-1.265509568206159</v>
      </c>
      <c r="CO148" s="197">
        <f t="shared" si="296"/>
        <v>78.243039067558826</v>
      </c>
      <c r="CP148" s="197">
        <f t="shared" si="297"/>
        <v>-2.4583609138474922</v>
      </c>
    </row>
    <row r="149" spans="31:94" ht="15.5" x14ac:dyDescent="0.35">
      <c r="AE149" s="84"/>
      <c r="AF149" s="53"/>
      <c r="AG149" s="85">
        <v>30</v>
      </c>
      <c r="AH149" s="86" t="s">
        <v>39</v>
      </c>
      <c r="AI149" s="82">
        <f t="shared" si="331"/>
        <v>20900</v>
      </c>
      <c r="AJ149" s="82">
        <f t="shared" si="331"/>
        <v>17000</v>
      </c>
      <c r="AK149" s="82">
        <f t="shared" si="331"/>
        <v>13900</v>
      </c>
      <c r="AL149" s="82">
        <f t="shared" si="331"/>
        <v>11500</v>
      </c>
      <c r="AM149" s="83">
        <f t="shared" si="331"/>
        <v>9600</v>
      </c>
      <c r="AN149" s="82">
        <f t="shared" si="331"/>
        <v>8200</v>
      </c>
      <c r="AO149" s="82">
        <f t="shared" si="331"/>
        <v>7100</v>
      </c>
      <c r="AP149" s="82">
        <f t="shared" si="331"/>
        <v>6200</v>
      </c>
      <c r="AQ149" s="82">
        <f t="shared" si="331"/>
        <v>5600</v>
      </c>
      <c r="AR149" s="87" t="s">
        <v>33</v>
      </c>
      <c r="AT149" s="84"/>
      <c r="AU149" s="53"/>
      <c r="AV149" s="85">
        <v>30</v>
      </c>
      <c r="AW149" s="86" t="s">
        <v>39</v>
      </c>
      <c r="AX149" s="82">
        <f t="shared" si="332"/>
        <v>15100</v>
      </c>
      <c r="AY149" s="82">
        <f t="shared" si="332"/>
        <v>13100</v>
      </c>
      <c r="AZ149" s="82">
        <f t="shared" si="332"/>
        <v>11600</v>
      </c>
      <c r="BA149" s="82">
        <f t="shared" si="332"/>
        <v>10500</v>
      </c>
      <c r="BB149" s="83">
        <f t="shared" si="332"/>
        <v>9600</v>
      </c>
      <c r="BC149" s="82">
        <f t="shared" si="332"/>
        <v>8900</v>
      </c>
      <c r="BD149" s="82">
        <f t="shared" si="332"/>
        <v>8300</v>
      </c>
      <c r="BE149" s="82">
        <f t="shared" si="332"/>
        <v>7800</v>
      </c>
      <c r="BF149" s="82">
        <f t="shared" si="332"/>
        <v>7300</v>
      </c>
      <c r="BG149" s="87" t="s">
        <v>33</v>
      </c>
      <c r="BI149" s="84"/>
      <c r="BJ149" s="53"/>
      <c r="BK149" s="85">
        <v>40</v>
      </c>
      <c r="BL149" s="86" t="s">
        <v>170</v>
      </c>
      <c r="BM149" s="82">
        <f t="shared" si="333"/>
        <v>5650</v>
      </c>
      <c r="BN149" s="82">
        <f t="shared" si="333"/>
        <v>4530</v>
      </c>
      <c r="BO149" s="82">
        <f t="shared" si="333"/>
        <v>3660</v>
      </c>
      <c r="BP149" s="82">
        <f t="shared" si="333"/>
        <v>2990</v>
      </c>
      <c r="BQ149" s="83">
        <f t="shared" si="333"/>
        <v>2480</v>
      </c>
      <c r="BR149" s="82">
        <f t="shared" si="333"/>
        <v>2100</v>
      </c>
      <c r="BS149" s="82">
        <f t="shared" si="333"/>
        <v>1820</v>
      </c>
      <c r="BT149" s="82">
        <f t="shared" si="333"/>
        <v>1600</v>
      </c>
      <c r="BU149" s="82">
        <f t="shared" si="333"/>
        <v>1440</v>
      </c>
      <c r="BV149" s="87" t="s">
        <v>164</v>
      </c>
      <c r="BX149" s="84"/>
      <c r="BY149" s="53"/>
      <c r="BZ149" s="85">
        <v>40</v>
      </c>
      <c r="CA149" s="86" t="s">
        <v>170</v>
      </c>
      <c r="CB149" s="82">
        <f t="shared" si="334"/>
        <v>4060</v>
      </c>
      <c r="CC149" s="82">
        <f t="shared" si="334"/>
        <v>3460</v>
      </c>
      <c r="CD149" s="82">
        <f t="shared" si="334"/>
        <v>3040</v>
      </c>
      <c r="CE149" s="82">
        <f t="shared" si="334"/>
        <v>2720</v>
      </c>
      <c r="CF149" s="83">
        <f t="shared" si="335"/>
        <v>2480</v>
      </c>
      <c r="CG149" s="82">
        <f t="shared" si="334"/>
        <v>2290</v>
      </c>
      <c r="CH149" s="82">
        <f t="shared" si="334"/>
        <v>2130</v>
      </c>
      <c r="CI149" s="82">
        <f t="shared" si="334"/>
        <v>2000</v>
      </c>
      <c r="CJ149" s="82">
        <f t="shared" si="334"/>
        <v>1890</v>
      </c>
      <c r="CK149" s="87" t="s">
        <v>164</v>
      </c>
      <c r="CL149" s="193"/>
      <c r="CM149" s="197">
        <v>146</v>
      </c>
      <c r="CN149" s="197">
        <f t="shared" si="295"/>
        <v>-1.2917158200499286</v>
      </c>
      <c r="CO149" s="197">
        <f t="shared" si="296"/>
        <v>78.782646233541982</v>
      </c>
      <c r="CP149" s="197">
        <f t="shared" si="297"/>
        <v>-2.5092688064859394</v>
      </c>
    </row>
    <row r="150" spans="31:94" ht="15.5" x14ac:dyDescent="0.35">
      <c r="AE150" s="84"/>
      <c r="AF150" s="53"/>
      <c r="AG150" s="85">
        <v>40</v>
      </c>
      <c r="AH150" s="86" t="s">
        <v>39</v>
      </c>
      <c r="AI150" s="82">
        <f t="shared" si="331"/>
        <v>27200</v>
      </c>
      <c r="AJ150" s="82">
        <f t="shared" si="331"/>
        <v>22000</v>
      </c>
      <c r="AK150" s="82">
        <f t="shared" si="331"/>
        <v>17900</v>
      </c>
      <c r="AL150" s="82">
        <f t="shared" si="331"/>
        <v>14600</v>
      </c>
      <c r="AM150" s="83">
        <f t="shared" si="331"/>
        <v>12200</v>
      </c>
      <c r="AN150" s="82">
        <f t="shared" si="331"/>
        <v>10300</v>
      </c>
      <c r="AO150" s="82">
        <f t="shared" si="331"/>
        <v>8800</v>
      </c>
      <c r="AP150" s="82">
        <f t="shared" si="331"/>
        <v>7700</v>
      </c>
      <c r="AQ150" s="82">
        <f t="shared" si="331"/>
        <v>6800</v>
      </c>
      <c r="AR150" s="87" t="s">
        <v>33</v>
      </c>
      <c r="AT150" s="84"/>
      <c r="AU150" s="53"/>
      <c r="AV150" s="85">
        <v>40</v>
      </c>
      <c r="AW150" s="86" t="s">
        <v>39</v>
      </c>
      <c r="AX150" s="82">
        <f t="shared" si="332"/>
        <v>19500</v>
      </c>
      <c r="AY150" s="82">
        <f t="shared" si="332"/>
        <v>16800</v>
      </c>
      <c r="AZ150" s="82">
        <f t="shared" si="332"/>
        <v>14900</v>
      </c>
      <c r="BA150" s="82">
        <f t="shared" si="332"/>
        <v>13400</v>
      </c>
      <c r="BB150" s="83">
        <f t="shared" si="332"/>
        <v>12200</v>
      </c>
      <c r="BC150" s="82">
        <f t="shared" si="332"/>
        <v>11200</v>
      </c>
      <c r="BD150" s="82">
        <f t="shared" si="332"/>
        <v>10400</v>
      </c>
      <c r="BE150" s="82">
        <f t="shared" si="332"/>
        <v>9700</v>
      </c>
      <c r="BF150" s="82">
        <f t="shared" si="332"/>
        <v>9200</v>
      </c>
      <c r="BG150" s="87" t="s">
        <v>33</v>
      </c>
      <c r="BI150" s="84"/>
      <c r="BJ150" s="53"/>
      <c r="BK150" s="85">
        <v>50</v>
      </c>
      <c r="BL150" s="86" t="s">
        <v>170</v>
      </c>
      <c r="BM150" s="82">
        <f t="shared" si="333"/>
        <v>6920</v>
      </c>
      <c r="BN150" s="82">
        <f t="shared" si="333"/>
        <v>5520</v>
      </c>
      <c r="BO150" s="82">
        <f t="shared" si="333"/>
        <v>4430</v>
      </c>
      <c r="BP150" s="82">
        <f t="shared" si="333"/>
        <v>3590</v>
      </c>
      <c r="BQ150" s="83">
        <f t="shared" si="333"/>
        <v>2960</v>
      </c>
      <c r="BR150" s="82">
        <f t="shared" si="333"/>
        <v>2480</v>
      </c>
      <c r="BS150" s="82">
        <f t="shared" si="333"/>
        <v>2130</v>
      </c>
      <c r="BT150" s="82">
        <f t="shared" si="333"/>
        <v>1860</v>
      </c>
      <c r="BU150" s="82">
        <f t="shared" si="333"/>
        <v>1660</v>
      </c>
      <c r="BV150" s="87" t="s">
        <v>164</v>
      </c>
      <c r="BX150" s="84"/>
      <c r="BY150" s="53"/>
      <c r="BZ150" s="85">
        <v>50</v>
      </c>
      <c r="CA150" s="86" t="s">
        <v>170</v>
      </c>
      <c r="CB150" s="82">
        <f t="shared" si="334"/>
        <v>4920</v>
      </c>
      <c r="CC150" s="82">
        <f t="shared" si="334"/>
        <v>4180</v>
      </c>
      <c r="CD150" s="82">
        <f t="shared" si="334"/>
        <v>3650</v>
      </c>
      <c r="CE150" s="82">
        <f t="shared" si="334"/>
        <v>3260</v>
      </c>
      <c r="CF150" s="83">
        <f t="shared" si="335"/>
        <v>2960</v>
      </c>
      <c r="CG150" s="82">
        <f t="shared" si="334"/>
        <v>2720</v>
      </c>
      <c r="CH150" s="82">
        <f t="shared" si="334"/>
        <v>2520</v>
      </c>
      <c r="CI150" s="82">
        <f t="shared" si="334"/>
        <v>2350</v>
      </c>
      <c r="CJ150" s="82">
        <f t="shared" si="334"/>
        <v>2220</v>
      </c>
      <c r="CK150" s="87" t="s">
        <v>164</v>
      </c>
      <c r="CL150" s="193"/>
      <c r="CM150" s="197">
        <v>147</v>
      </c>
      <c r="CN150" s="197">
        <f t="shared" si="295"/>
        <v>-1.3184140802069999</v>
      </c>
      <c r="CO150" s="197">
        <f t="shared" si="296"/>
        <v>79.322253399525152</v>
      </c>
      <c r="CP150" s="197">
        <f t="shared" si="297"/>
        <v>-2.561132467486078</v>
      </c>
    </row>
    <row r="151" spans="31:94" ht="15.5" x14ac:dyDescent="0.35">
      <c r="AE151" s="84"/>
      <c r="AF151" s="53"/>
      <c r="AG151" s="85">
        <v>50</v>
      </c>
      <c r="AH151" s="86" t="s">
        <v>39</v>
      </c>
      <c r="AI151" s="82">
        <f t="shared" si="331"/>
        <v>33500</v>
      </c>
      <c r="AJ151" s="82">
        <f t="shared" si="331"/>
        <v>27000</v>
      </c>
      <c r="AK151" s="82">
        <f t="shared" si="331"/>
        <v>21800</v>
      </c>
      <c r="AL151" s="82">
        <f t="shared" si="331"/>
        <v>17800</v>
      </c>
      <c r="AM151" s="83">
        <f t="shared" si="331"/>
        <v>14700</v>
      </c>
      <c r="AN151" s="82">
        <f t="shared" si="331"/>
        <v>12400</v>
      </c>
      <c r="AO151" s="82">
        <f t="shared" si="331"/>
        <v>10500</v>
      </c>
      <c r="AP151" s="82">
        <f t="shared" si="331"/>
        <v>9100</v>
      </c>
      <c r="AQ151" s="82">
        <f t="shared" si="331"/>
        <v>8000</v>
      </c>
      <c r="AR151" s="87" t="s">
        <v>33</v>
      </c>
      <c r="AT151" s="84"/>
      <c r="AU151" s="53"/>
      <c r="AV151" s="85">
        <v>50</v>
      </c>
      <c r="AW151" s="86" t="s">
        <v>39</v>
      </c>
      <c r="AX151" s="82">
        <f t="shared" si="332"/>
        <v>23800</v>
      </c>
      <c r="AY151" s="82">
        <f t="shared" si="332"/>
        <v>20500</v>
      </c>
      <c r="AZ151" s="82">
        <f t="shared" si="332"/>
        <v>18100</v>
      </c>
      <c r="BA151" s="82">
        <f t="shared" si="332"/>
        <v>16200</v>
      </c>
      <c r="BB151" s="83">
        <f t="shared" si="332"/>
        <v>14700</v>
      </c>
      <c r="BC151" s="82">
        <f t="shared" si="332"/>
        <v>13500</v>
      </c>
      <c r="BD151" s="82">
        <f t="shared" si="332"/>
        <v>12500</v>
      </c>
      <c r="BE151" s="82">
        <f t="shared" si="332"/>
        <v>11700</v>
      </c>
      <c r="BF151" s="82">
        <f t="shared" si="332"/>
        <v>11000</v>
      </c>
      <c r="BG151" s="87" t="s">
        <v>33</v>
      </c>
      <c r="BI151" s="84"/>
      <c r="BJ151" s="53"/>
      <c r="BK151" s="85">
        <v>100</v>
      </c>
      <c r="BL151" s="86" t="s">
        <v>170</v>
      </c>
      <c r="BM151" s="82">
        <f t="shared" si="333"/>
        <v>13270</v>
      </c>
      <c r="BN151" s="82">
        <f t="shared" si="333"/>
        <v>10470</v>
      </c>
      <c r="BO151" s="82">
        <f t="shared" si="333"/>
        <v>8270</v>
      </c>
      <c r="BP151" s="82">
        <f t="shared" si="333"/>
        <v>6600</v>
      </c>
      <c r="BQ151" s="83">
        <f t="shared" si="333"/>
        <v>5330</v>
      </c>
      <c r="BR151" s="82">
        <f t="shared" si="333"/>
        <v>4390</v>
      </c>
      <c r="BS151" s="82">
        <f t="shared" si="333"/>
        <v>3680</v>
      </c>
      <c r="BT151" s="82">
        <f t="shared" si="333"/>
        <v>3140</v>
      </c>
      <c r="BU151" s="82">
        <f t="shared" si="333"/>
        <v>2730</v>
      </c>
      <c r="BV151" s="87" t="s">
        <v>164</v>
      </c>
      <c r="BX151" s="84"/>
      <c r="BY151" s="53"/>
      <c r="BZ151" s="85">
        <v>100</v>
      </c>
      <c r="CA151" s="86" t="s">
        <v>170</v>
      </c>
      <c r="CB151" s="82">
        <f t="shared" si="334"/>
        <v>9270</v>
      </c>
      <c r="CC151" s="82">
        <f t="shared" si="334"/>
        <v>7780</v>
      </c>
      <c r="CD151" s="82">
        <f t="shared" si="334"/>
        <v>6730</v>
      </c>
      <c r="CE151" s="82">
        <f t="shared" si="334"/>
        <v>5940</v>
      </c>
      <c r="CF151" s="83">
        <f t="shared" si="335"/>
        <v>5330</v>
      </c>
      <c r="CG151" s="82">
        <f t="shared" si="334"/>
        <v>4850</v>
      </c>
      <c r="CH151" s="82">
        <f t="shared" si="334"/>
        <v>4460</v>
      </c>
      <c r="CI151" s="82">
        <f t="shared" si="334"/>
        <v>4130</v>
      </c>
      <c r="CJ151" s="82">
        <f t="shared" si="334"/>
        <v>3850</v>
      </c>
      <c r="CK151" s="87" t="s">
        <v>164</v>
      </c>
      <c r="CL151" s="193"/>
      <c r="CM151" s="197">
        <v>148</v>
      </c>
      <c r="CN151" s="197">
        <f t="shared" si="295"/>
        <v>-1.3456043486773728</v>
      </c>
      <c r="CO151" s="197">
        <f t="shared" si="296"/>
        <v>79.861860565508309</v>
      </c>
      <c r="CP151" s="197">
        <f t="shared" si="297"/>
        <v>-2.6139518968479072</v>
      </c>
    </row>
    <row r="152" spans="31:94" ht="15.5" x14ac:dyDescent="0.35">
      <c r="AE152" s="88"/>
      <c r="AF152" s="89"/>
      <c r="AG152" s="61"/>
      <c r="AH152" s="90" t="s">
        <v>40</v>
      </c>
      <c r="AI152" s="91">
        <f>KphToKts*(aRprime*AI132*KtsToKph-SQRT(aRprime*(aRprime*(AI132*KtsToKph)^2-$AE146*KtsToKph+bRprime*AI132*KtsToKph+cRprime)))/aRprime</f>
        <v>122.92011125562776</v>
      </c>
      <c r="AJ152" s="91">
        <f>KphToKts*(aRprime*AJ132*KtsToKph-SQRT(aRprime*(aRprime*(AJ132*KtsToKph)^2-$AE146*KtsToKph+bRprime*AJ132*KtsToKph+cRprime)))/aRprime</f>
        <v>114.68276515187257</v>
      </c>
      <c r="AK152" s="91">
        <f>KphToKts*(aRprime*AK132*KtsToKph-SQRT(aRprime*(aRprime*(AK132*KtsToKph)^2-$AE146*KtsToKph+bRprime*AK132*KtsToKph+cRprime)))/aRprime</f>
        <v>107.55910333533986</v>
      </c>
      <c r="AL152" s="91">
        <f>KphToKts*(aRprime*AL132*KtsToKph-SQRT(aRprime*(aRprime*(AL132*KtsToKph)^2-$AE146*KtsToKph+bRprime*AL132*KtsToKph+cRprime)))/aRprime</f>
        <v>101.44409461529075</v>
      </c>
      <c r="AM152" s="178">
        <f>KphToKts*(aRprime*AM145*KtsToKph-SQRT(aRprime*(aRprime*(AM145*KtsToKph)^2-$AE146*KtsToKph+bRprime*AM145*KtsToKph+cRprime)))/aRprime</f>
        <v>96.215634400713512</v>
      </c>
      <c r="AN152" s="91">
        <f>KphToKts*(aRprime*AN132*KtsToKph-SQRT(aRprime*(aRprime*(AN132*KtsToKph)^2-$AE146*KtsToKph+bRprime*AN132*KtsToKph+cRprime)))/aRprime</f>
        <v>91.749074522834277</v>
      </c>
      <c r="AO152" s="91">
        <f>KphToKts*(aRprime*AO132*KtsToKph-SQRT(aRprime*(aRprime*(AO132*KtsToKph)^2-$AE146*KtsToKph+bRprime*AO132*KtsToKph+cRprime)))/aRprime</f>
        <v>87.927290475462243</v>
      </c>
      <c r="AP152" s="91">
        <f>KphToKts*(aRprime*AP132*KtsToKph-SQRT(aRprime*(aRprime*(AP132*KtsToKph)^2-$AE146*KtsToKph+bRprime*AP132*KtsToKph+cRprime)))/aRprime</f>
        <v>84.646089739233247</v>
      </c>
      <c r="AQ152" s="91">
        <f>KphToKts*(aRprime*AQ132*KtsToKph-SQRT(aRprime*(aRprime*(AQ132*KtsToKph)^2-$AE146*KtsToKph+bRprime*AQ132*KtsToKph+cRprime)))/aRprime</f>
        <v>81.816057051678698</v>
      </c>
      <c r="AR152" s="72" t="s">
        <v>8</v>
      </c>
      <c r="AT152" s="88"/>
      <c r="AU152" s="89"/>
      <c r="AV152" s="61"/>
      <c r="AW152" s="90" t="s">
        <v>40</v>
      </c>
      <c r="AX152" s="177">
        <f t="shared" ref="AX152:BF152" si="336">KphToKts*(-1*SQRT(aRprime*(-$AT146*KtsToKph+cRprime)))/aRprime</f>
        <v>96.215634400713512</v>
      </c>
      <c r="AY152" s="177">
        <f t="shared" si="336"/>
        <v>96.215634400713512</v>
      </c>
      <c r="AZ152" s="177">
        <f t="shared" si="336"/>
        <v>96.215634400713512</v>
      </c>
      <c r="BA152" s="177">
        <f t="shared" si="336"/>
        <v>96.215634400713512</v>
      </c>
      <c r="BB152" s="178">
        <f t="shared" si="336"/>
        <v>96.215634400713512</v>
      </c>
      <c r="BC152" s="177">
        <f t="shared" si="336"/>
        <v>96.215634400713512</v>
      </c>
      <c r="BD152" s="177">
        <f t="shared" si="336"/>
        <v>96.215634400713512</v>
      </c>
      <c r="BE152" s="177">
        <f t="shared" si="336"/>
        <v>96.215634400713512</v>
      </c>
      <c r="BF152" s="177">
        <f t="shared" si="336"/>
        <v>96.215634400713512</v>
      </c>
      <c r="BG152" s="72" t="s">
        <v>8</v>
      </c>
      <c r="BI152" s="88"/>
      <c r="BJ152" s="89"/>
      <c r="BK152" s="61"/>
      <c r="BL152" s="90" t="s">
        <v>40</v>
      </c>
      <c r="BM152" s="177">
        <f t="shared" ref="BM152:BU152" si="337">(aRprime*BM145-SQRT(aRprime*(aRprime*BM145^2-$BI146*MpsToKph+bRprime*BM145+cRprime)))/aRprime</f>
        <v>231.11195055875896</v>
      </c>
      <c r="BN152" s="177">
        <f t="shared" si="337"/>
        <v>214.02684188395997</v>
      </c>
      <c r="BO152" s="177">
        <f t="shared" si="337"/>
        <v>199.41679472320348</v>
      </c>
      <c r="BP152" s="177">
        <f t="shared" si="337"/>
        <v>187.04239240053289</v>
      </c>
      <c r="BQ152" s="178">
        <f t="shared" si="337"/>
        <v>176.61428956335104</v>
      </c>
      <c r="BR152" s="177">
        <f t="shared" si="337"/>
        <v>167.8351769425546</v>
      </c>
      <c r="BS152" s="177">
        <f t="shared" si="337"/>
        <v>160.42829170582283</v>
      </c>
      <c r="BT152" s="177">
        <f t="shared" si="337"/>
        <v>154.15169047940762</v>
      </c>
      <c r="BU152" s="177">
        <f t="shared" si="337"/>
        <v>148.80208249546507</v>
      </c>
      <c r="BV152" s="72" t="s">
        <v>1</v>
      </c>
      <c r="BX152" s="88"/>
      <c r="BY152" s="89"/>
      <c r="BZ152" s="61"/>
      <c r="CA152" s="90" t="s">
        <v>40</v>
      </c>
      <c r="CB152" s="177">
        <f t="shared" ref="CB152:CJ152" si="338">(-1*SQRT(aRprime*(-$BX146*MpsToKph+cRprime)))/aRprime</f>
        <v>176.61428956335104</v>
      </c>
      <c r="CC152" s="177">
        <f t="shared" si="338"/>
        <v>176.61428956335104</v>
      </c>
      <c r="CD152" s="177">
        <f t="shared" si="338"/>
        <v>176.61428956335104</v>
      </c>
      <c r="CE152" s="177">
        <f t="shared" si="338"/>
        <v>176.61428956335104</v>
      </c>
      <c r="CF152" s="178">
        <f t="shared" si="338"/>
        <v>176.61428956335104</v>
      </c>
      <c r="CG152" s="177">
        <f t="shared" si="338"/>
        <v>176.61428956335104</v>
      </c>
      <c r="CH152" s="177">
        <f t="shared" si="338"/>
        <v>176.61428956335104</v>
      </c>
      <c r="CI152" s="177">
        <f t="shared" si="338"/>
        <v>176.61428956335104</v>
      </c>
      <c r="CJ152" s="177">
        <f t="shared" si="338"/>
        <v>176.61428956335104</v>
      </c>
      <c r="CK152" s="72" t="s">
        <v>1</v>
      </c>
      <c r="CL152" s="193"/>
      <c r="CM152" s="197">
        <v>149</v>
      </c>
      <c r="CN152" s="197">
        <f t="shared" si="295"/>
        <v>-1.3732866254610465</v>
      </c>
      <c r="CO152" s="197">
        <f t="shared" si="296"/>
        <v>80.401467731491479</v>
      </c>
      <c r="CP152" s="197">
        <f t="shared" si="297"/>
        <v>-2.6677270945714264</v>
      </c>
    </row>
    <row r="153" spans="31:94" ht="15.5" x14ac:dyDescent="0.35">
      <c r="AE153" s="84"/>
      <c r="AF153" s="62"/>
      <c r="AG153" s="63"/>
      <c r="AH153" s="92" t="s">
        <v>41</v>
      </c>
      <c r="AI153" s="190">
        <f t="shared" ref="AI153:AQ153" si="339">KphToKts*($AE146*KtsToKph-AI145*KtsToKph*(2*aRprime*AI152*KtsToKph+bRprime))</f>
        <v>19.60427392185521</v>
      </c>
      <c r="AJ153" s="190">
        <f t="shared" si="339"/>
        <v>16.392046794966781</v>
      </c>
      <c r="AK153" s="190">
        <f t="shared" si="339"/>
        <v>13.793704209618829</v>
      </c>
      <c r="AL153" s="190">
        <f t="shared" si="339"/>
        <v>11.696130410639471</v>
      </c>
      <c r="AM153" s="190">
        <f t="shared" si="339"/>
        <v>10</v>
      </c>
      <c r="AN153" s="190">
        <f t="shared" si="339"/>
        <v>8.622103127047767</v>
      </c>
      <c r="AO153" s="190">
        <f t="shared" si="339"/>
        <v>7.4951020430827411</v>
      </c>
      <c r="AP153" s="190">
        <f t="shared" si="339"/>
        <v>6.5657637260340627</v>
      </c>
      <c r="AQ153" s="190">
        <f t="shared" si="339"/>
        <v>5.7925951750076115</v>
      </c>
      <c r="AR153" s="93" t="s">
        <v>8</v>
      </c>
      <c r="AT153" s="84"/>
      <c r="AU153" s="62"/>
      <c r="AV153" s="63"/>
      <c r="AW153" s="92" t="s">
        <v>41</v>
      </c>
      <c r="AX153" s="207">
        <f t="shared" ref="AX153:BF153" si="340">$AT146</f>
        <v>10</v>
      </c>
      <c r="AY153" s="207">
        <f t="shared" si="340"/>
        <v>10</v>
      </c>
      <c r="AZ153" s="207">
        <f t="shared" si="340"/>
        <v>10</v>
      </c>
      <c r="BA153" s="207">
        <f t="shared" si="340"/>
        <v>10</v>
      </c>
      <c r="BB153" s="207">
        <f t="shared" si="340"/>
        <v>10</v>
      </c>
      <c r="BC153" s="207">
        <f t="shared" si="340"/>
        <v>10</v>
      </c>
      <c r="BD153" s="207">
        <f t="shared" si="340"/>
        <v>10</v>
      </c>
      <c r="BE153" s="207">
        <f t="shared" si="340"/>
        <v>10</v>
      </c>
      <c r="BF153" s="207">
        <f t="shared" si="340"/>
        <v>10</v>
      </c>
      <c r="BG153" s="93" t="s">
        <v>8</v>
      </c>
      <c r="BI153" s="84"/>
      <c r="BJ153" s="62"/>
      <c r="BK153" s="63"/>
      <c r="BL153" s="92" t="s">
        <v>41</v>
      </c>
      <c r="BM153" s="190">
        <f t="shared" ref="BM153:BU153" si="341">KphToMps*($BI146*MpsToKph-BM145*(2*aRprime*BM152+bRprime))</f>
        <v>10.466243458933089</v>
      </c>
      <c r="BN153" s="190">
        <f t="shared" si="341"/>
        <v>8.5953216640998402</v>
      </c>
      <c r="BO153" s="190">
        <f t="shared" si="341"/>
        <v>7.1093505229669338</v>
      </c>
      <c r="BP153" s="190">
        <f t="shared" si="341"/>
        <v>5.9329090851855604</v>
      </c>
      <c r="BQ153" s="190">
        <f t="shared" si="341"/>
        <v>5</v>
      </c>
      <c r="BR153" s="190">
        <f t="shared" si="341"/>
        <v>4.2560931084285336</v>
      </c>
      <c r="BS153" s="190">
        <f t="shared" si="341"/>
        <v>3.6579561813428518</v>
      </c>
      <c r="BT153" s="190">
        <f t="shared" si="341"/>
        <v>3.1722226709748811</v>
      </c>
      <c r="BU153" s="190">
        <f t="shared" si="341"/>
        <v>2.7735276893802863</v>
      </c>
      <c r="BV153" s="93" t="s">
        <v>0</v>
      </c>
      <c r="BX153" s="84"/>
      <c r="BY153" s="62"/>
      <c r="BZ153" s="63"/>
      <c r="CA153" s="92" t="s">
        <v>41</v>
      </c>
      <c r="CB153" s="207">
        <f t="shared" ref="CB153:CE153" si="342">$BX146</f>
        <v>5</v>
      </c>
      <c r="CC153" s="207">
        <f t="shared" si="342"/>
        <v>5</v>
      </c>
      <c r="CD153" s="207">
        <f t="shared" si="342"/>
        <v>5</v>
      </c>
      <c r="CE153" s="207">
        <f t="shared" si="342"/>
        <v>5</v>
      </c>
      <c r="CF153" s="207">
        <f>$BX146</f>
        <v>5</v>
      </c>
      <c r="CG153" s="207">
        <f t="shared" ref="CG153:CJ153" si="343">$BX146</f>
        <v>5</v>
      </c>
      <c r="CH153" s="207">
        <f t="shared" si="343"/>
        <v>5</v>
      </c>
      <c r="CI153" s="207">
        <f t="shared" si="343"/>
        <v>5</v>
      </c>
      <c r="CJ153" s="207">
        <f t="shared" si="343"/>
        <v>5</v>
      </c>
      <c r="CK153" s="93" t="s">
        <v>0</v>
      </c>
      <c r="CL153" s="193"/>
      <c r="CM153" s="197">
        <v>150</v>
      </c>
      <c r="CN153" s="197">
        <f t="shared" si="295"/>
        <v>-1.4014609105580231</v>
      </c>
      <c r="CO153" s="197">
        <f t="shared" si="296"/>
        <v>80.941074897474635</v>
      </c>
      <c r="CP153" s="197">
        <f t="shared" si="297"/>
        <v>-2.7224580606566389</v>
      </c>
    </row>
    <row r="154" spans="31:94" ht="15.5" x14ac:dyDescent="0.35">
      <c r="AE154" s="94"/>
      <c r="AF154" s="89"/>
      <c r="AG154" s="61"/>
      <c r="AH154" s="71" t="s">
        <v>49</v>
      </c>
      <c r="AI154" s="95">
        <f t="shared" ref="AI154:AL154" si="344">AI152-AI145</f>
        <v>82.920111255627759</v>
      </c>
      <c r="AJ154" s="95">
        <f t="shared" si="344"/>
        <v>84.682765151872573</v>
      </c>
      <c r="AK154" s="95">
        <f t="shared" si="344"/>
        <v>87.559103335339856</v>
      </c>
      <c r="AL154" s="95">
        <f t="shared" si="344"/>
        <v>91.444094615290751</v>
      </c>
      <c r="AM154" s="95">
        <f>AM152-AM145</f>
        <v>96.215634400713512</v>
      </c>
      <c r="AN154" s="95">
        <f t="shared" ref="AN154:AQ154" si="345">AN152-AN145</f>
        <v>101.74907452283428</v>
      </c>
      <c r="AO154" s="95">
        <f t="shared" si="345"/>
        <v>107.92729047546224</v>
      </c>
      <c r="AP154" s="95">
        <f t="shared" si="345"/>
        <v>114.64608973923325</v>
      </c>
      <c r="AQ154" s="95">
        <f t="shared" si="345"/>
        <v>121.8160570516787</v>
      </c>
      <c r="AR154" s="96" t="s">
        <v>8</v>
      </c>
      <c r="AT154" s="94"/>
      <c r="AU154" s="89"/>
      <c r="AV154" s="61"/>
      <c r="AW154" s="71" t="s">
        <v>49</v>
      </c>
      <c r="AX154" s="95">
        <f t="shared" ref="AX154:BA154" si="346">AX152-AX145</f>
        <v>56.215634400713512</v>
      </c>
      <c r="AY154" s="95">
        <f t="shared" si="346"/>
        <v>66.215634400713512</v>
      </c>
      <c r="AZ154" s="95">
        <f t="shared" si="346"/>
        <v>76.215634400713512</v>
      </c>
      <c r="BA154" s="95">
        <f t="shared" si="346"/>
        <v>86.215634400713512</v>
      </c>
      <c r="BB154" s="95">
        <f>BB152-BB145</f>
        <v>96.215634400713512</v>
      </c>
      <c r="BC154" s="95">
        <f t="shared" ref="BC154:BF154" si="347">BC152-BC145</f>
        <v>106.21563440071351</v>
      </c>
      <c r="BD154" s="95">
        <f t="shared" si="347"/>
        <v>116.21563440071351</v>
      </c>
      <c r="BE154" s="95">
        <f t="shared" si="347"/>
        <v>126.21563440071351</v>
      </c>
      <c r="BF154" s="95">
        <f t="shared" si="347"/>
        <v>136.2156344007135</v>
      </c>
      <c r="BG154" s="96" t="s">
        <v>8</v>
      </c>
      <c r="BI154" s="94"/>
      <c r="BJ154" s="89"/>
      <c r="BK154" s="61"/>
      <c r="BL154" s="71" t="s">
        <v>49</v>
      </c>
      <c r="BM154" s="95">
        <f t="shared" ref="BM154:BP154" si="348">BM152-BM145</f>
        <v>151.11195055875896</v>
      </c>
      <c r="BN154" s="95">
        <f t="shared" si="348"/>
        <v>154.02684188395997</v>
      </c>
      <c r="BO154" s="95">
        <f t="shared" si="348"/>
        <v>159.41679472320348</v>
      </c>
      <c r="BP154" s="95">
        <f t="shared" si="348"/>
        <v>167.04239240053289</v>
      </c>
      <c r="BQ154" s="95">
        <f>BQ152-BQ145</f>
        <v>176.61428956335104</v>
      </c>
      <c r="BR154" s="95">
        <f t="shared" ref="BR154:BU154" si="349">BR152-BR145</f>
        <v>187.8351769425546</v>
      </c>
      <c r="BS154" s="95">
        <f t="shared" si="349"/>
        <v>200.42829170582283</v>
      </c>
      <c r="BT154" s="95">
        <f t="shared" si="349"/>
        <v>214.15169047940762</v>
      </c>
      <c r="BU154" s="95">
        <f t="shared" si="349"/>
        <v>228.80208249546507</v>
      </c>
      <c r="BV154" s="96" t="s">
        <v>1</v>
      </c>
      <c r="BX154" s="94"/>
      <c r="BY154" s="89"/>
      <c r="BZ154" s="61"/>
      <c r="CA154" s="71" t="s">
        <v>49</v>
      </c>
      <c r="CB154" s="95">
        <f t="shared" ref="CB154:CE154" si="350">CB152-CB145</f>
        <v>96.614289563351036</v>
      </c>
      <c r="CC154" s="95">
        <f t="shared" si="350"/>
        <v>116.61428956335104</v>
      </c>
      <c r="CD154" s="95">
        <f t="shared" si="350"/>
        <v>136.61428956335104</v>
      </c>
      <c r="CE154" s="95">
        <f t="shared" si="350"/>
        <v>156.61428956335104</v>
      </c>
      <c r="CF154" s="95">
        <f>CF152-CF145</f>
        <v>176.61428956335104</v>
      </c>
      <c r="CG154" s="95">
        <f t="shared" ref="CG154:CJ154" si="351">CG152-CG145</f>
        <v>196.61428956335104</v>
      </c>
      <c r="CH154" s="95">
        <f t="shared" si="351"/>
        <v>216.61428956335104</v>
      </c>
      <c r="CI154" s="95">
        <f t="shared" si="351"/>
        <v>236.61428956335104</v>
      </c>
      <c r="CJ154" s="95">
        <f t="shared" si="351"/>
        <v>256.61428956335101</v>
      </c>
      <c r="CK154" s="96" t="s">
        <v>1</v>
      </c>
      <c r="CL154" s="194"/>
      <c r="CM154" s="197">
        <v>151</v>
      </c>
      <c r="CN154" s="197">
        <f t="shared" si="295"/>
        <v>-1.4301272039683022</v>
      </c>
      <c r="CO154" s="197">
        <f t="shared" si="296"/>
        <v>81.480682063457806</v>
      </c>
      <c r="CP154" s="197">
        <f t="shared" si="297"/>
        <v>-2.7781447951035445</v>
      </c>
    </row>
    <row r="155" spans="31:94" ht="15.5" x14ac:dyDescent="0.35">
      <c r="AE155" s="84"/>
      <c r="AF155" s="89"/>
      <c r="AG155" s="61"/>
      <c r="AH155" s="71" t="s">
        <v>42</v>
      </c>
      <c r="AI155" s="95">
        <f t="shared" ref="AI155" si="352">-AI154/AI156</f>
        <v>8.367581639449897</v>
      </c>
      <c r="AJ155" s="95">
        <f t="shared" ref="AJ155" si="353">-AJ154/AJ156</f>
        <v>10.528483167396208</v>
      </c>
      <c r="AK155" s="95">
        <f t="shared" ref="AK155" si="354">-AK154/AK156</f>
        <v>13.249132397644983</v>
      </c>
      <c r="AL155" s="95">
        <f t="shared" ref="AL155" si="355">-AL154/AL156</f>
        <v>16.595690182927314</v>
      </c>
      <c r="AM155" s="95">
        <f>-AM154/AM156</f>
        <v>20.611032993429475</v>
      </c>
      <c r="AN155" s="95">
        <f t="shared" ref="AN155" si="356">-AN154/AN156</f>
        <v>25.310884039709823</v>
      </c>
      <c r="AO155" s="95">
        <f t="shared" ref="AO155" si="357">-AO154/AO156</f>
        <v>30.684328121111481</v>
      </c>
      <c r="AP155" s="95">
        <f t="shared" ref="AP155" si="358">-AP154/AP156</f>
        <v>36.697803053545769</v>
      </c>
      <c r="AQ155" s="95">
        <f t="shared" ref="AQ155" si="359">-AQ154/AQ156</f>
        <v>43.301034356397935</v>
      </c>
      <c r="AR155" s="96"/>
      <c r="AT155" s="84"/>
      <c r="AU155" s="89"/>
      <c r="AV155" s="61"/>
      <c r="AW155" s="71" t="s">
        <v>42</v>
      </c>
      <c r="AX155" s="95">
        <f t="shared" ref="AX155:BA155" si="360">-AX154/AX156</f>
        <v>12.042349485055029</v>
      </c>
      <c r="AY155" s="95">
        <f t="shared" si="360"/>
        <v>14.184520362148641</v>
      </c>
      <c r="AZ155" s="95">
        <f t="shared" si="360"/>
        <v>16.326691239242251</v>
      </c>
      <c r="BA155" s="95">
        <f t="shared" si="360"/>
        <v>18.468862116335863</v>
      </c>
      <c r="BB155" s="95">
        <f>-BB154/BB156</f>
        <v>20.611032993429475</v>
      </c>
      <c r="BC155" s="95">
        <f t="shared" ref="BC155:BF155" si="361">-BC154/BC156</f>
        <v>22.753203870523087</v>
      </c>
      <c r="BD155" s="95">
        <f t="shared" si="361"/>
        <v>24.8953747476167</v>
      </c>
      <c r="BE155" s="95">
        <f t="shared" si="361"/>
        <v>27.037545624710312</v>
      </c>
      <c r="BF155" s="95">
        <f t="shared" si="361"/>
        <v>29.17971650180392</v>
      </c>
      <c r="BG155" s="96"/>
      <c r="BI155" s="84"/>
      <c r="BJ155" s="89"/>
      <c r="BK155" s="61"/>
      <c r="BL155" s="71" t="s">
        <v>42</v>
      </c>
      <c r="BM155" s="95">
        <f>-BM154/BM156/MpsToKph</f>
        <v>7.8824586489900943</v>
      </c>
      <c r="BN155" s="95">
        <f>-BN154/BN156/MpsToKph</f>
        <v>10.115667406763562</v>
      </c>
      <c r="BO155" s="95">
        <f>-BO154/BO156/MpsToKph</f>
        <v>12.998833369152422</v>
      </c>
      <c r="BP155" s="95">
        <f>-BP154/BP156/MpsToKph</f>
        <v>16.620528640044117</v>
      </c>
      <c r="BQ155" s="95">
        <f>-BQ154/BQ156/MpsToKph</f>
        <v>21.036661748252889</v>
      </c>
      <c r="BR155" s="95">
        <f>-BR154/BR156/MpsToKph</f>
        <v>26.264266687558703</v>
      </c>
      <c r="BS155" s="95">
        <f>-BS154/BS156/MpsToKph</f>
        <v>32.282783649039914</v>
      </c>
      <c r="BT155" s="95">
        <f>-BT154/BT156/MpsToKph</f>
        <v>39.041043393784761</v>
      </c>
      <c r="BU155" s="95">
        <f>-BU154/BU156/MpsToKph</f>
        <v>46.467016649003149</v>
      </c>
      <c r="BV155" s="96"/>
      <c r="BX155" s="84"/>
      <c r="BY155" s="89"/>
      <c r="BZ155" s="61"/>
      <c r="CA155" s="71" t="s">
        <v>42</v>
      </c>
      <c r="CB155" s="95">
        <f>-CB154/CB156/MpsToKph</f>
        <v>11.507801178584387</v>
      </c>
      <c r="CC155" s="95">
        <f>-CC154/CC156/MpsToKph</f>
        <v>13.890016321001513</v>
      </c>
      <c r="CD155" s="95">
        <f>-CD154/CD156/MpsToKph</f>
        <v>16.272231463418638</v>
      </c>
      <c r="CE155" s="95">
        <f>-CE154/CE156/MpsToKph</f>
        <v>18.654446605835766</v>
      </c>
      <c r="CF155" s="95">
        <f>-CF154/CF156/MpsToKph</f>
        <v>21.036661748252889</v>
      </c>
      <c r="CG155" s="95">
        <f>-CG154/CG156/MpsToKph</f>
        <v>23.418876890670017</v>
      </c>
      <c r="CH155" s="95">
        <f>-CH154/CH156/MpsToKph</f>
        <v>25.801092033087141</v>
      </c>
      <c r="CI155" s="95">
        <f>-CI154/CI156/MpsToKph</f>
        <v>28.183307175504268</v>
      </c>
      <c r="CJ155" s="95">
        <f>-CJ154/CJ156/MpsToKph</f>
        <v>30.565522317921392</v>
      </c>
      <c r="CK155" s="96"/>
      <c r="CL155" s="194"/>
      <c r="CM155" s="197">
        <v>152</v>
      </c>
      <c r="CN155" s="197">
        <f t="shared" si="295"/>
        <v>-1.4592855056918823</v>
      </c>
      <c r="CO155" s="197">
        <f t="shared" si="296"/>
        <v>82.020289229440962</v>
      </c>
      <c r="CP155" s="197">
        <f t="shared" si="297"/>
        <v>-2.8347872979121389</v>
      </c>
    </row>
    <row r="156" spans="31:94" ht="16" thickBot="1" x14ac:dyDescent="0.4">
      <c r="AE156" s="97"/>
      <c r="AF156" s="64"/>
      <c r="AG156" s="65"/>
      <c r="AH156" s="98" t="s">
        <v>43</v>
      </c>
      <c r="AI156" s="191">
        <f t="shared" ref="AI156:AQ156" si="362">KphToKts*(aRprime*(AI152*KtsToKph)^2+bRprime*AI152*KtsToKph+cRprime)</f>
        <v>-9.9096865532439686</v>
      </c>
      <c r="AJ156" s="191">
        <f t="shared" si="362"/>
        <v>-8.043206585931733</v>
      </c>
      <c r="AK156" s="191">
        <f t="shared" si="362"/>
        <v>-6.6086669456864495</v>
      </c>
      <c r="AL156" s="191">
        <f t="shared" si="362"/>
        <v>-5.5101109750387574</v>
      </c>
      <c r="AM156" s="191">
        <f t="shared" si="362"/>
        <v>-4.6681616797850829</v>
      </c>
      <c r="AN156" s="191">
        <f t="shared" si="362"/>
        <v>-4.0199731610797098</v>
      </c>
      <c r="AO156" s="191">
        <f t="shared" si="362"/>
        <v>-3.5173424703800484</v>
      </c>
      <c r="AP156" s="191">
        <f t="shared" si="362"/>
        <v>-3.1240586683609677</v>
      </c>
      <c r="AQ156" s="191">
        <f t="shared" si="362"/>
        <v>-2.8132366550195305</v>
      </c>
      <c r="AR156" s="99" t="s">
        <v>8</v>
      </c>
      <c r="AT156" s="97"/>
      <c r="AU156" s="64"/>
      <c r="AV156" s="65"/>
      <c r="AW156" s="98" t="s">
        <v>43</v>
      </c>
      <c r="AX156" s="191">
        <f t="shared" ref="AX156:BF156" si="363">KphToKts*(aRprime*(AX152*KtsToKph)^2+bRprime*AX152*KtsToKph+cRprime)</f>
        <v>-4.6681616797850829</v>
      </c>
      <c r="AY156" s="191">
        <f t="shared" si="363"/>
        <v>-4.6681616797850829</v>
      </c>
      <c r="AZ156" s="191">
        <f t="shared" si="363"/>
        <v>-4.6681616797850829</v>
      </c>
      <c r="BA156" s="191">
        <f t="shared" si="363"/>
        <v>-4.6681616797850829</v>
      </c>
      <c r="BB156" s="191">
        <f t="shared" si="363"/>
        <v>-4.6681616797850829</v>
      </c>
      <c r="BC156" s="191">
        <f t="shared" si="363"/>
        <v>-4.6681616797850829</v>
      </c>
      <c r="BD156" s="191">
        <f t="shared" si="363"/>
        <v>-4.6681616797850829</v>
      </c>
      <c r="BE156" s="191">
        <f t="shared" si="363"/>
        <v>-4.6681616797850829</v>
      </c>
      <c r="BF156" s="191">
        <f t="shared" si="363"/>
        <v>-4.6681616797850829</v>
      </c>
      <c r="BG156" s="99" t="s">
        <v>8</v>
      </c>
      <c r="BI156" s="97"/>
      <c r="BJ156" s="64"/>
      <c r="BK156" s="65"/>
      <c r="BL156" s="98" t="s">
        <v>43</v>
      </c>
      <c r="BM156" s="191">
        <f>KphToMps*(aRprime*BM152^2+bRprime*BM152+cRprime)</f>
        <v>-5.325183891355449</v>
      </c>
      <c r="BN156" s="191">
        <f>KphToMps*(aRprime*BN152^2+bRprime*BN152+cRprime)</f>
        <v>-4.2296006913046966</v>
      </c>
      <c r="BO156" s="191">
        <f>KphToMps*(aRprime*BO152^2+bRprime*BO152+cRprime)</f>
        <v>-3.4066474829775459</v>
      </c>
      <c r="BP156" s="191">
        <f>KphToMps*(aRprime*BP152^2+bRprime*BP152+cRprime)</f>
        <v>-2.7917682740794225</v>
      </c>
      <c r="BQ156" s="191">
        <f>KphToMps*(aRprime*BQ152^2+bRprime*BQ152+cRprime)</f>
        <v>-2.3320964830735584</v>
      </c>
      <c r="BR156" s="191">
        <f>KphToMps*(aRprime*BR152^2+bRprime*BR152+cRprime)</f>
        <v>-1.9865941303556101</v>
      </c>
      <c r="BS156" s="191">
        <f>KphToMps*(aRprime*BS152^2+bRprime*BS152+cRprime)</f>
        <v>-1.7245887491952827</v>
      </c>
      <c r="BT156" s="191">
        <f>KphToMps*(aRprime*BT152^2+bRprime*BT152+cRprime)</f>
        <v>-1.5236934138444276</v>
      </c>
      <c r="BU156" s="191">
        <f>KphToMps*(aRprime*BU152^2+bRprime*BU152+cRprime)</f>
        <v>-1.3677687661035052</v>
      </c>
      <c r="BV156" s="99" t="s">
        <v>0</v>
      </c>
      <c r="BX156" s="97"/>
      <c r="BY156" s="64"/>
      <c r="BZ156" s="65"/>
      <c r="CA156" s="98" t="s">
        <v>43</v>
      </c>
      <c r="CB156" s="191">
        <f>KphToMps*(aRprime*CB152^2+bRprime*CB152+cRprime)</f>
        <v>-2.3320964830735584</v>
      </c>
      <c r="CC156" s="191">
        <f>KphToMps*(aRprime*CC152^2+bRprime*CC152+cRprime)</f>
        <v>-2.3320964830735584</v>
      </c>
      <c r="CD156" s="191">
        <f>KphToMps*(aRprime*CD152^2+bRprime*CD152+cRprime)</f>
        <v>-2.3320964830735584</v>
      </c>
      <c r="CE156" s="191">
        <f>KphToMps*(aRprime*CE152^2+bRprime*CE152+cRprime)</f>
        <v>-2.3320964830735584</v>
      </c>
      <c r="CF156" s="191">
        <f>KphToMps*(aRprime*CF152^2+bRprime*CF152+cRprime)</f>
        <v>-2.3320964830735584</v>
      </c>
      <c r="CG156" s="191">
        <f>KphToMps*(aRprime*CG152^2+bRprime*CG152+cRprime)</f>
        <v>-2.3320964830735584</v>
      </c>
      <c r="CH156" s="191">
        <f>KphToMps*(aRprime*CH152^2+bRprime*CH152+cRprime)</f>
        <v>-2.3320964830735584</v>
      </c>
      <c r="CI156" s="191">
        <f>KphToMps*(aRprime*CI152^2+bRprime*CI152+cRprime)</f>
        <v>-2.3320964830735584</v>
      </c>
      <c r="CJ156" s="191">
        <f>KphToMps*(aRprime*CJ152^2+bRprime*CJ152+cRprime)</f>
        <v>-2.3320964830735584</v>
      </c>
      <c r="CK156" s="99" t="s">
        <v>0</v>
      </c>
      <c r="CL156" s="194"/>
      <c r="CM156" s="197">
        <v>153</v>
      </c>
      <c r="CN156" s="197">
        <f t="shared" si="295"/>
        <v>-1.488935815728764</v>
      </c>
      <c r="CO156" s="197">
        <f t="shared" si="296"/>
        <v>82.559896395424133</v>
      </c>
      <c r="CP156" s="197">
        <f t="shared" si="297"/>
        <v>-2.8923855690824252</v>
      </c>
    </row>
    <row r="157" spans="31:94" ht="13" thickTop="1" x14ac:dyDescent="0.25">
      <c r="CM157" s="197">
        <v>154</v>
      </c>
      <c r="CN157" s="197">
        <f t="shared" si="295"/>
        <v>-1.5190781340789483</v>
      </c>
      <c r="CO157" s="197">
        <f t="shared" si="296"/>
        <v>83.099503561407303</v>
      </c>
      <c r="CP157" s="197">
        <f t="shared" si="297"/>
        <v>-2.9509396086144042</v>
      </c>
    </row>
    <row r="158" spans="31:94" x14ac:dyDescent="0.25">
      <c r="CM158" s="197">
        <v>155</v>
      </c>
      <c r="CN158" s="197">
        <f t="shared" si="295"/>
        <v>-1.5497124607424335</v>
      </c>
      <c r="CO158" s="197">
        <f t="shared" si="296"/>
        <v>83.639110727390459</v>
      </c>
      <c r="CP158" s="197">
        <f t="shared" si="297"/>
        <v>-3.0104494165080733</v>
      </c>
    </row>
    <row r="159" spans="31:94" x14ac:dyDescent="0.25">
      <c r="CM159" s="197">
        <v>156</v>
      </c>
      <c r="CN159" s="197">
        <f t="shared" si="295"/>
        <v>-1.5808387957192203</v>
      </c>
      <c r="CO159" s="197">
        <f t="shared" si="296"/>
        <v>84.17871789337363</v>
      </c>
      <c r="CP159" s="197">
        <f t="shared" si="297"/>
        <v>-3.0709149927634325</v>
      </c>
    </row>
    <row r="160" spans="31:94" x14ac:dyDescent="0.25">
      <c r="CM160" s="197">
        <v>157</v>
      </c>
      <c r="CN160" s="197">
        <f t="shared" si="295"/>
        <v>-1.6124571390093099</v>
      </c>
      <c r="CO160" s="197">
        <f t="shared" si="296"/>
        <v>84.718325059356786</v>
      </c>
      <c r="CP160" s="197">
        <f t="shared" si="297"/>
        <v>-3.1323363373804853</v>
      </c>
    </row>
    <row r="161" spans="91:94" x14ac:dyDescent="0.25">
      <c r="CM161" s="197">
        <v>158</v>
      </c>
      <c r="CN161" s="197">
        <f t="shared" si="295"/>
        <v>-1.6445674906127012</v>
      </c>
      <c r="CO161" s="197">
        <f t="shared" si="296"/>
        <v>85.257932225339957</v>
      </c>
      <c r="CP161" s="197">
        <f t="shared" si="297"/>
        <v>-3.1947134503592296</v>
      </c>
    </row>
    <row r="162" spans="91:94" x14ac:dyDescent="0.25">
      <c r="CM162" s="197">
        <v>159</v>
      </c>
      <c r="CN162" s="197">
        <f t="shared" si="295"/>
        <v>-1.6771698505293944</v>
      </c>
      <c r="CO162" s="197">
        <f t="shared" si="296"/>
        <v>85.797539391323113</v>
      </c>
      <c r="CP162" s="197">
        <f t="shared" si="297"/>
        <v>-3.2580463316996653</v>
      </c>
    </row>
    <row r="163" spans="91:94" x14ac:dyDescent="0.25">
      <c r="CM163" s="197">
        <v>160</v>
      </c>
      <c r="CN163" s="197">
        <f t="shared" si="295"/>
        <v>-1.7102642187593882</v>
      </c>
      <c r="CO163" s="197">
        <f t="shared" si="296"/>
        <v>86.337146557306284</v>
      </c>
      <c r="CP163" s="197">
        <f t="shared" si="297"/>
        <v>-3.3223349814017902</v>
      </c>
    </row>
    <row r="164" spans="91:94" x14ac:dyDescent="0.25">
      <c r="CM164" s="197">
        <v>161</v>
      </c>
      <c r="CN164" s="197">
        <f t="shared" si="295"/>
        <v>-1.7438505953026848</v>
      </c>
      <c r="CO164" s="197">
        <f t="shared" si="296"/>
        <v>86.876753723289454</v>
      </c>
      <c r="CP164" s="197">
        <f t="shared" si="297"/>
        <v>-3.3875793994656083</v>
      </c>
    </row>
    <row r="165" spans="91:94" x14ac:dyDescent="0.25">
      <c r="CM165" s="197">
        <v>162</v>
      </c>
      <c r="CN165" s="197">
        <f t="shared" si="295"/>
        <v>-1.7779289801592841</v>
      </c>
      <c r="CO165" s="197">
        <f t="shared" si="296"/>
        <v>87.41636088927261</v>
      </c>
      <c r="CP165" s="197">
        <f t="shared" si="297"/>
        <v>-3.45377958589112</v>
      </c>
    </row>
    <row r="166" spans="91:94" x14ac:dyDescent="0.25">
      <c r="CM166" s="197">
        <v>163</v>
      </c>
      <c r="CN166" s="197">
        <f t="shared" si="295"/>
        <v>-1.8124993733291841</v>
      </c>
      <c r="CO166" s="197">
        <f t="shared" si="296"/>
        <v>87.955968055255781</v>
      </c>
      <c r="CP166" s="197">
        <f t="shared" si="297"/>
        <v>-3.52093554067832</v>
      </c>
    </row>
    <row r="167" spans="91:94" x14ac:dyDescent="0.25">
      <c r="CM167" s="197">
        <v>164</v>
      </c>
      <c r="CN167" s="197">
        <f t="shared" si="295"/>
        <v>-1.8475617748123858</v>
      </c>
      <c r="CO167" s="197">
        <f t="shared" si="296"/>
        <v>88.495575221238937</v>
      </c>
      <c r="CP167" s="197">
        <f t="shared" si="297"/>
        <v>-3.589047263827212</v>
      </c>
    </row>
    <row r="168" spans="91:94" x14ac:dyDescent="0.25">
      <c r="CM168" s="197">
        <v>165</v>
      </c>
      <c r="CN168" s="197">
        <f t="shared" si="295"/>
        <v>-1.8831161846088904</v>
      </c>
      <c r="CO168" s="197">
        <f t="shared" si="296"/>
        <v>89.035182387222108</v>
      </c>
      <c r="CP168" s="197">
        <f t="shared" si="297"/>
        <v>-3.6581147553377975</v>
      </c>
    </row>
    <row r="169" spans="91:94" x14ac:dyDescent="0.25">
      <c r="CM169" s="197">
        <v>166</v>
      </c>
      <c r="CN169" s="197">
        <f t="shared" si="295"/>
        <v>-1.9191626027186957</v>
      </c>
      <c r="CO169" s="197">
        <f t="shared" si="296"/>
        <v>89.574789553205264</v>
      </c>
      <c r="CP169" s="197">
        <f t="shared" si="297"/>
        <v>-3.7281380152100718</v>
      </c>
    </row>
    <row r="170" spans="91:94" x14ac:dyDescent="0.25">
      <c r="CM170" s="197">
        <v>167</v>
      </c>
      <c r="CN170" s="197">
        <f t="shared" si="295"/>
        <v>-1.9557010291418027</v>
      </c>
      <c r="CO170" s="197">
        <f t="shared" si="296"/>
        <v>90.114396719188434</v>
      </c>
      <c r="CP170" s="197">
        <f t="shared" si="297"/>
        <v>-3.7991170434440376</v>
      </c>
    </row>
    <row r="171" spans="91:94" x14ac:dyDescent="0.25">
      <c r="CM171" s="197">
        <v>168</v>
      </c>
      <c r="CN171" s="197">
        <f t="shared" si="295"/>
        <v>-1.9927314638782123</v>
      </c>
      <c r="CO171" s="197">
        <f t="shared" si="296"/>
        <v>90.654003885171591</v>
      </c>
      <c r="CP171" s="197">
        <f t="shared" si="297"/>
        <v>-3.8710518400396965</v>
      </c>
    </row>
    <row r="172" spans="91:94" x14ac:dyDescent="0.25">
      <c r="CM172" s="197">
        <v>169</v>
      </c>
      <c r="CN172" s="197">
        <f t="shared" si="295"/>
        <v>-2.0302539069279235</v>
      </c>
      <c r="CO172" s="197">
        <f t="shared" si="296"/>
        <v>91.193611051154761</v>
      </c>
      <c r="CP172" s="197">
        <f t="shared" si="297"/>
        <v>-3.9439424049970451</v>
      </c>
    </row>
    <row r="173" spans="91:94" x14ac:dyDescent="0.25">
      <c r="CM173" s="197">
        <v>170</v>
      </c>
      <c r="CN173" s="197">
        <f t="shared" si="295"/>
        <v>-2.0682683582909367</v>
      </c>
      <c r="CO173" s="197">
        <f t="shared" si="296"/>
        <v>91.733218217137932</v>
      </c>
      <c r="CP173" s="197">
        <f t="shared" si="297"/>
        <v>-4.0177887383160868</v>
      </c>
    </row>
    <row r="174" spans="91:94" x14ac:dyDescent="0.25">
      <c r="CM174" s="197">
        <v>171</v>
      </c>
      <c r="CN174" s="197">
        <f t="shared" si="295"/>
        <v>-2.1067748179672519</v>
      </c>
      <c r="CO174" s="197">
        <f t="shared" si="296"/>
        <v>92.272825383121088</v>
      </c>
      <c r="CP174" s="197">
        <f t="shared" si="297"/>
        <v>-4.0925908399968201</v>
      </c>
    </row>
    <row r="175" spans="91:94" x14ac:dyDescent="0.25">
      <c r="CM175" s="197">
        <v>172</v>
      </c>
      <c r="CN175" s="197">
        <f t="shared" si="295"/>
        <v>-2.1457732859568677</v>
      </c>
      <c r="CO175" s="197">
        <f t="shared" si="296"/>
        <v>92.812432549104258</v>
      </c>
      <c r="CP175" s="197">
        <f t="shared" si="297"/>
        <v>-4.1683487100392425</v>
      </c>
    </row>
    <row r="176" spans="91:94" x14ac:dyDescent="0.25">
      <c r="CM176" s="197">
        <v>173</v>
      </c>
      <c r="CN176" s="197">
        <f t="shared" si="295"/>
        <v>-2.1852637622597868</v>
      </c>
      <c r="CO176" s="197">
        <f t="shared" si="296"/>
        <v>93.352039715087415</v>
      </c>
      <c r="CP176" s="197">
        <f t="shared" si="297"/>
        <v>-4.2450623484433594</v>
      </c>
    </row>
    <row r="177" spans="91:94" x14ac:dyDescent="0.25">
      <c r="CM177" s="197">
        <v>174</v>
      </c>
      <c r="CN177" s="197">
        <f t="shared" si="295"/>
        <v>-2.225246246876007</v>
      </c>
      <c r="CO177" s="197">
        <f t="shared" si="296"/>
        <v>93.891646881070585</v>
      </c>
      <c r="CP177" s="197">
        <f t="shared" si="297"/>
        <v>-4.3227317552091655</v>
      </c>
    </row>
    <row r="178" spans="91:94" x14ac:dyDescent="0.25">
      <c r="CM178" s="197">
        <v>175</v>
      </c>
      <c r="CN178" s="197">
        <f t="shared" si="295"/>
        <v>-2.2657207398055288</v>
      </c>
      <c r="CO178" s="197">
        <f t="shared" si="296"/>
        <v>94.431254047053741</v>
      </c>
      <c r="CP178" s="197">
        <f t="shared" si="297"/>
        <v>-4.4013569303366626</v>
      </c>
    </row>
    <row r="179" spans="91:94" x14ac:dyDescent="0.25">
      <c r="CM179" s="197">
        <v>176</v>
      </c>
      <c r="CN179" s="197">
        <f t="shared" si="295"/>
        <v>-2.3066872410483534</v>
      </c>
      <c r="CO179" s="197">
        <f t="shared" si="296"/>
        <v>94.970861213036912</v>
      </c>
      <c r="CP179" s="197">
        <f t="shared" si="297"/>
        <v>-4.4809378738258543</v>
      </c>
    </row>
    <row r="180" spans="91:94" x14ac:dyDescent="0.25">
      <c r="CM180" s="197">
        <v>177</v>
      </c>
      <c r="CN180" s="197">
        <f t="shared" si="295"/>
        <v>-2.3481457506044796</v>
      </c>
      <c r="CO180" s="197">
        <f t="shared" si="296"/>
        <v>95.510468379020082</v>
      </c>
      <c r="CP180" s="197">
        <f t="shared" si="297"/>
        <v>-4.561474585676736</v>
      </c>
    </row>
    <row r="181" spans="91:94" x14ac:dyDescent="0.25">
      <c r="CM181" s="197">
        <v>178</v>
      </c>
      <c r="CN181" s="197">
        <f t="shared" si="295"/>
        <v>-2.390096268473906</v>
      </c>
      <c r="CO181" s="197">
        <f t="shared" si="296"/>
        <v>96.050075545003239</v>
      </c>
      <c r="CP181" s="197">
        <f t="shared" si="297"/>
        <v>-4.6429670658893061</v>
      </c>
    </row>
    <row r="182" spans="91:94" x14ac:dyDescent="0.25">
      <c r="CM182" s="197">
        <v>179</v>
      </c>
      <c r="CN182" s="197">
        <f t="shared" si="295"/>
        <v>-2.4325387946566357</v>
      </c>
      <c r="CO182" s="197">
        <f t="shared" si="296"/>
        <v>96.589682710986409</v>
      </c>
      <c r="CP182" s="197">
        <f t="shared" si="297"/>
        <v>-4.7254153144635698</v>
      </c>
    </row>
    <row r="183" spans="91:94" x14ac:dyDescent="0.25">
      <c r="CM183" s="197">
        <v>180</v>
      </c>
      <c r="CN183" s="197">
        <f t="shared" si="295"/>
        <v>-2.4754733291526674</v>
      </c>
      <c r="CO183" s="197">
        <f t="shared" si="296"/>
        <v>97.129289876969565</v>
      </c>
      <c r="CP183" s="197">
        <f t="shared" si="297"/>
        <v>-4.8088193313995262</v>
      </c>
    </row>
    <row r="184" spans="91:94" x14ac:dyDescent="0.25">
      <c r="CM184" s="197">
        <v>181</v>
      </c>
      <c r="CN184" s="197">
        <f t="shared" si="295"/>
        <v>-2.5188998719620006</v>
      </c>
      <c r="CO184" s="197">
        <f t="shared" si="296"/>
        <v>97.668897042952736</v>
      </c>
      <c r="CP184" s="197">
        <f t="shared" si="297"/>
        <v>-4.8931791166971736</v>
      </c>
    </row>
    <row r="185" spans="91:94" x14ac:dyDescent="0.25">
      <c r="CM185" s="197">
        <v>182</v>
      </c>
      <c r="CN185" s="197">
        <f t="shared" si="295"/>
        <v>-2.5628184230846354</v>
      </c>
      <c r="CO185" s="197">
        <f t="shared" si="296"/>
        <v>98.208504208935892</v>
      </c>
      <c r="CP185" s="197">
        <f t="shared" si="297"/>
        <v>-4.9784946703565121</v>
      </c>
    </row>
    <row r="186" spans="91:94" x14ac:dyDescent="0.25">
      <c r="CM186" s="197">
        <v>183</v>
      </c>
      <c r="CN186" s="197">
        <f t="shared" si="295"/>
        <v>-2.6072289825205721</v>
      </c>
      <c r="CO186" s="197">
        <f t="shared" si="296"/>
        <v>98.748111374919063</v>
      </c>
      <c r="CP186" s="197">
        <f t="shared" si="297"/>
        <v>-5.0647659923775414</v>
      </c>
    </row>
    <row r="187" spans="91:94" x14ac:dyDescent="0.25">
      <c r="CM187" s="197">
        <v>184</v>
      </c>
      <c r="CN187" s="197">
        <f t="shared" si="295"/>
        <v>-2.6521315502698108</v>
      </c>
      <c r="CO187" s="197">
        <f t="shared" si="296"/>
        <v>99.287718540902219</v>
      </c>
      <c r="CP187" s="197">
        <f t="shared" si="297"/>
        <v>-5.1519930827602627</v>
      </c>
    </row>
    <row r="188" spans="91:94" x14ac:dyDescent="0.25">
      <c r="CM188" s="197">
        <v>185</v>
      </c>
      <c r="CN188" s="197">
        <f t="shared" si="295"/>
        <v>-2.6975261263323511</v>
      </c>
      <c r="CO188" s="197">
        <f t="shared" si="296"/>
        <v>99.827325706885389</v>
      </c>
      <c r="CP188" s="197">
        <f t="shared" si="297"/>
        <v>-5.2401759415046758</v>
      </c>
    </row>
    <row r="189" spans="91:94" x14ac:dyDescent="0.25">
      <c r="CM189" s="197">
        <v>186</v>
      </c>
      <c r="CN189" s="197">
        <f t="shared" si="295"/>
        <v>-2.7434127107081938</v>
      </c>
      <c r="CO189" s="197">
        <f t="shared" si="296"/>
        <v>100.36693287286856</v>
      </c>
      <c r="CP189" s="197">
        <f t="shared" si="297"/>
        <v>-5.3293145686107808</v>
      </c>
    </row>
    <row r="190" spans="91:94" x14ac:dyDescent="0.25">
      <c r="CM190" s="197">
        <v>187</v>
      </c>
      <c r="CN190" s="197">
        <f t="shared" si="295"/>
        <v>-2.7897913033973376</v>
      </c>
      <c r="CO190" s="197">
        <f t="shared" si="296"/>
        <v>100.90654003885172</v>
      </c>
      <c r="CP190" s="197">
        <f t="shared" si="297"/>
        <v>-5.419408964078575</v>
      </c>
    </row>
    <row r="191" spans="91:94" x14ac:dyDescent="0.25">
      <c r="CM191" s="197">
        <v>188</v>
      </c>
      <c r="CN191" s="197">
        <f t="shared" si="295"/>
        <v>-2.8366619043997838</v>
      </c>
      <c r="CO191" s="197">
        <f t="shared" si="296"/>
        <v>101.44614720483489</v>
      </c>
      <c r="CP191" s="197">
        <f t="shared" si="297"/>
        <v>-5.5104591279080628</v>
      </c>
    </row>
    <row r="192" spans="91:94" x14ac:dyDescent="0.25">
      <c r="CM192" s="197">
        <v>189</v>
      </c>
      <c r="CN192" s="197">
        <f t="shared" si="295"/>
        <v>-2.884024513715532</v>
      </c>
      <c r="CO192" s="197">
        <f t="shared" si="296"/>
        <v>101.98575437081804</v>
      </c>
      <c r="CP192" s="197">
        <f t="shared" si="297"/>
        <v>-5.6024650600992416</v>
      </c>
    </row>
    <row r="193" spans="91:94" x14ac:dyDescent="0.25">
      <c r="CM193" s="197">
        <v>190</v>
      </c>
      <c r="CN193" s="197">
        <f t="shared" si="295"/>
        <v>-2.93187913134458</v>
      </c>
      <c r="CO193" s="197">
        <f t="shared" si="296"/>
        <v>102.52536153680121</v>
      </c>
      <c r="CP193" s="197">
        <f t="shared" si="297"/>
        <v>-5.6954267606521087</v>
      </c>
    </row>
    <row r="194" spans="91:94" x14ac:dyDescent="0.25">
      <c r="CM194" s="197">
        <v>191</v>
      </c>
      <c r="CN194" s="197">
        <f t="shared" si="295"/>
        <v>-2.9802257572869326</v>
      </c>
      <c r="CO194" s="197">
        <f t="shared" si="296"/>
        <v>103.06496870278437</v>
      </c>
      <c r="CP194" s="197">
        <f t="shared" si="297"/>
        <v>-5.7893442295666731</v>
      </c>
    </row>
    <row r="195" spans="91:94" x14ac:dyDescent="0.25">
      <c r="CM195" s="197">
        <v>192</v>
      </c>
      <c r="CN195" s="197">
        <f t="shared" ref="CN195:CN253" si="364">(aRprime*CM195^2+bRprime*CM195+cRprime+Wm)/3.6</f>
        <v>-3.029064391542585</v>
      </c>
      <c r="CO195" s="197">
        <f t="shared" si="296"/>
        <v>103.60457586876754</v>
      </c>
      <c r="CP195" s="197">
        <f t="shared" si="297"/>
        <v>-5.884217466842923</v>
      </c>
    </row>
    <row r="196" spans="91:94" x14ac:dyDescent="0.25">
      <c r="CM196" s="197">
        <v>193</v>
      </c>
      <c r="CN196" s="197">
        <f t="shared" si="364"/>
        <v>-3.0783950341115403</v>
      </c>
      <c r="CO196" s="197">
        <f t="shared" ref="CO196:CO253" si="365">CM196/1.8532</f>
        <v>104.14418303475071</v>
      </c>
      <c r="CP196" s="197">
        <f t="shared" ref="CP196:CP253" si="366">CN196/1.8532*3600/1000</f>
        <v>-5.9800464724808693</v>
      </c>
    </row>
    <row r="197" spans="91:94" x14ac:dyDescent="0.25">
      <c r="CM197" s="197">
        <v>194</v>
      </c>
      <c r="CN197" s="197">
        <f t="shared" si="364"/>
        <v>-3.1282176849937979</v>
      </c>
      <c r="CO197" s="197">
        <f t="shared" si="365"/>
        <v>104.68379020073387</v>
      </c>
      <c r="CP197" s="197">
        <f t="shared" si="366"/>
        <v>-6.0768312464805048</v>
      </c>
    </row>
    <row r="198" spans="91:94" x14ac:dyDescent="0.25">
      <c r="CM198" s="197">
        <v>195</v>
      </c>
      <c r="CN198" s="197">
        <f t="shared" si="364"/>
        <v>-3.1785323441893554</v>
      </c>
      <c r="CO198" s="197">
        <f t="shared" si="365"/>
        <v>105.22339736671704</v>
      </c>
      <c r="CP198" s="197">
        <f t="shared" si="366"/>
        <v>-6.1745717888418303</v>
      </c>
    </row>
    <row r="199" spans="91:94" x14ac:dyDescent="0.25">
      <c r="CM199" s="197">
        <v>196</v>
      </c>
      <c r="CN199" s="197">
        <f t="shared" si="364"/>
        <v>-3.229339011698217</v>
      </c>
      <c r="CO199" s="197">
        <f t="shared" si="365"/>
        <v>105.76300453270019</v>
      </c>
      <c r="CP199" s="197">
        <f t="shared" si="366"/>
        <v>-6.2732680995648504</v>
      </c>
    </row>
    <row r="200" spans="91:94" x14ac:dyDescent="0.25">
      <c r="CM200" s="197">
        <v>197</v>
      </c>
      <c r="CN200" s="197">
        <f t="shared" si="364"/>
        <v>-3.2806376875203789</v>
      </c>
      <c r="CO200" s="197">
        <f t="shared" si="365"/>
        <v>106.30261169868336</v>
      </c>
      <c r="CP200" s="197">
        <f t="shared" si="366"/>
        <v>-6.3729201786495597</v>
      </c>
    </row>
    <row r="201" spans="91:94" x14ac:dyDescent="0.25">
      <c r="CM201" s="197">
        <v>198</v>
      </c>
      <c r="CN201" s="197">
        <f t="shared" si="364"/>
        <v>-3.3324283716558436</v>
      </c>
      <c r="CO201" s="197">
        <f t="shared" si="365"/>
        <v>106.84221886466652</v>
      </c>
      <c r="CP201" s="197">
        <f t="shared" si="366"/>
        <v>-6.4735280260959627</v>
      </c>
    </row>
    <row r="202" spans="91:94" x14ac:dyDescent="0.25">
      <c r="CM202" s="197">
        <v>199</v>
      </c>
      <c r="CN202" s="197">
        <f t="shared" si="364"/>
        <v>-3.384711064104609</v>
      </c>
      <c r="CO202" s="197">
        <f t="shared" si="365"/>
        <v>107.38182603064969</v>
      </c>
      <c r="CP202" s="197">
        <f t="shared" si="366"/>
        <v>-6.5750916419040539</v>
      </c>
    </row>
    <row r="203" spans="91:94" x14ac:dyDescent="0.25">
      <c r="CM203" s="197">
        <v>200</v>
      </c>
      <c r="CN203" s="197">
        <f t="shared" si="364"/>
        <v>-3.4374857648666772</v>
      </c>
      <c r="CO203" s="197">
        <f t="shared" si="365"/>
        <v>107.92143319663285</v>
      </c>
      <c r="CP203" s="197">
        <f t="shared" si="366"/>
        <v>-6.6776110260738397</v>
      </c>
    </row>
    <row r="204" spans="91:94" x14ac:dyDescent="0.25">
      <c r="CM204" s="197">
        <v>201</v>
      </c>
      <c r="CN204" s="197">
        <f t="shared" si="364"/>
        <v>-3.4907524739420466</v>
      </c>
      <c r="CO204" s="197">
        <f t="shared" si="365"/>
        <v>108.46104036261602</v>
      </c>
      <c r="CP204" s="197">
        <f t="shared" si="366"/>
        <v>-6.7810861786053147</v>
      </c>
    </row>
    <row r="205" spans="91:94" x14ac:dyDescent="0.25">
      <c r="CM205" s="197">
        <v>202</v>
      </c>
      <c r="CN205" s="197">
        <f t="shared" si="364"/>
        <v>-3.5445111913307183</v>
      </c>
      <c r="CO205" s="197">
        <f t="shared" si="365"/>
        <v>109.00064752859919</v>
      </c>
      <c r="CP205" s="197">
        <f t="shared" si="366"/>
        <v>-6.8855170994984816</v>
      </c>
    </row>
    <row r="206" spans="91:94" x14ac:dyDescent="0.25">
      <c r="CM206" s="197">
        <v>203</v>
      </c>
      <c r="CN206" s="197">
        <f t="shared" si="364"/>
        <v>-3.5987619170326925</v>
      </c>
      <c r="CO206" s="197">
        <f t="shared" si="365"/>
        <v>109.54025469458234</v>
      </c>
      <c r="CP206" s="197">
        <f t="shared" si="366"/>
        <v>-6.9909037887533412</v>
      </c>
    </row>
    <row r="207" spans="91:94" x14ac:dyDescent="0.25">
      <c r="CM207" s="197">
        <v>204</v>
      </c>
      <c r="CN207" s="197">
        <f t="shared" si="364"/>
        <v>-3.6535046510479656</v>
      </c>
      <c r="CO207" s="197">
        <f t="shared" si="365"/>
        <v>110.07986186056552</v>
      </c>
      <c r="CP207" s="197">
        <f t="shared" si="366"/>
        <v>-7.0972462463698882</v>
      </c>
    </row>
    <row r="208" spans="91:94" x14ac:dyDescent="0.25">
      <c r="CM208" s="197">
        <v>205</v>
      </c>
      <c r="CN208" s="197">
        <f t="shared" si="364"/>
        <v>-3.7087393933765416</v>
      </c>
      <c r="CO208" s="197">
        <f t="shared" si="365"/>
        <v>110.61946902654867</v>
      </c>
      <c r="CP208" s="197">
        <f t="shared" si="366"/>
        <v>-7.204544472348128</v>
      </c>
    </row>
    <row r="209" spans="91:94" x14ac:dyDescent="0.25">
      <c r="CM209" s="197">
        <v>206</v>
      </c>
      <c r="CN209" s="197">
        <f t="shared" si="364"/>
        <v>-3.7644661440184226</v>
      </c>
      <c r="CO209" s="197">
        <f t="shared" si="365"/>
        <v>111.15907619253184</v>
      </c>
      <c r="CP209" s="197">
        <f t="shared" si="366"/>
        <v>-7.3127984666880659</v>
      </c>
    </row>
    <row r="210" spans="91:94" x14ac:dyDescent="0.25">
      <c r="CM210" s="197">
        <v>207</v>
      </c>
      <c r="CN210" s="197">
        <f t="shared" si="364"/>
        <v>-3.8206849029736016</v>
      </c>
      <c r="CO210" s="197">
        <f t="shared" si="365"/>
        <v>111.698683358515</v>
      </c>
      <c r="CP210" s="197">
        <f t="shared" si="366"/>
        <v>-7.4220082293896859</v>
      </c>
    </row>
    <row r="211" spans="91:94" x14ac:dyDescent="0.25">
      <c r="CM211" s="197">
        <v>208</v>
      </c>
      <c r="CN211" s="197">
        <f t="shared" si="364"/>
        <v>-3.8773956702420858</v>
      </c>
      <c r="CO211" s="197">
        <f t="shared" si="365"/>
        <v>112.23829052449817</v>
      </c>
      <c r="CP211" s="197">
        <f t="shared" si="366"/>
        <v>-7.5321737604530048</v>
      </c>
    </row>
    <row r="212" spans="91:94" x14ac:dyDescent="0.25">
      <c r="CM212" s="197">
        <v>209</v>
      </c>
      <c r="CN212" s="197">
        <f t="shared" si="364"/>
        <v>-3.9345984458238688</v>
      </c>
      <c r="CO212" s="197">
        <f t="shared" si="365"/>
        <v>112.77789769048134</v>
      </c>
      <c r="CP212" s="197">
        <f t="shared" si="366"/>
        <v>-7.6432950598780085</v>
      </c>
    </row>
    <row r="213" spans="91:94" x14ac:dyDescent="0.25">
      <c r="CM213" s="197">
        <v>210</v>
      </c>
      <c r="CN213" s="197">
        <f t="shared" si="364"/>
        <v>-3.9922932297189564</v>
      </c>
      <c r="CO213" s="197">
        <f t="shared" si="365"/>
        <v>113.3175048564645</v>
      </c>
      <c r="CP213" s="197">
        <f t="shared" si="366"/>
        <v>-7.7553721276647121</v>
      </c>
    </row>
    <row r="214" spans="91:94" x14ac:dyDescent="0.25">
      <c r="CM214" s="197">
        <v>211</v>
      </c>
      <c r="CN214" s="197">
        <f t="shared" si="364"/>
        <v>-4.0504800219273447</v>
      </c>
      <c r="CO214" s="197">
        <f t="shared" si="365"/>
        <v>113.85711202244767</v>
      </c>
      <c r="CP214" s="197">
        <f t="shared" si="366"/>
        <v>-7.8684049638131031</v>
      </c>
    </row>
    <row r="215" spans="91:94" x14ac:dyDescent="0.25">
      <c r="CM215" s="197">
        <v>212</v>
      </c>
      <c r="CN215" s="197">
        <f t="shared" si="364"/>
        <v>-4.1091588224490341</v>
      </c>
      <c r="CO215" s="197">
        <f t="shared" si="365"/>
        <v>114.39671918843082</v>
      </c>
      <c r="CP215" s="197">
        <f t="shared" si="366"/>
        <v>-7.9823935683231833</v>
      </c>
    </row>
    <row r="216" spans="91:94" x14ac:dyDescent="0.25">
      <c r="CM216" s="197">
        <v>213</v>
      </c>
      <c r="CN216" s="197">
        <f t="shared" si="364"/>
        <v>-4.1683296312840259</v>
      </c>
      <c r="CO216" s="197">
        <f t="shared" si="365"/>
        <v>114.93632635441399</v>
      </c>
      <c r="CP216" s="197">
        <f t="shared" si="366"/>
        <v>-8.097337941194958</v>
      </c>
    </row>
    <row r="217" spans="91:94" x14ac:dyDescent="0.25">
      <c r="CM217" s="197">
        <v>214</v>
      </c>
      <c r="CN217" s="197">
        <f t="shared" si="364"/>
        <v>-4.2279924484323184</v>
      </c>
      <c r="CO217" s="197">
        <f t="shared" si="365"/>
        <v>115.47593352039715</v>
      </c>
      <c r="CP217" s="197">
        <f t="shared" si="366"/>
        <v>-8.2132380824284184</v>
      </c>
    </row>
    <row r="218" spans="91:94" x14ac:dyDescent="0.25">
      <c r="CM218" s="197">
        <v>215</v>
      </c>
      <c r="CN218" s="197">
        <f t="shared" si="364"/>
        <v>-4.2881472738939159</v>
      </c>
      <c r="CO218" s="197">
        <f t="shared" si="365"/>
        <v>116.01554068638032</v>
      </c>
      <c r="CP218" s="197">
        <f t="shared" si="366"/>
        <v>-8.3300939920235795</v>
      </c>
    </row>
    <row r="219" spans="91:94" x14ac:dyDescent="0.25">
      <c r="CM219" s="197">
        <v>216</v>
      </c>
      <c r="CN219" s="197">
        <f t="shared" si="364"/>
        <v>-4.3487941076688097</v>
      </c>
      <c r="CO219" s="197">
        <f t="shared" si="365"/>
        <v>116.55514785236348</v>
      </c>
      <c r="CP219" s="197">
        <f t="shared" si="366"/>
        <v>-8.44790566998042</v>
      </c>
    </row>
    <row r="220" spans="91:94" x14ac:dyDescent="0.25">
      <c r="CM220" s="197">
        <v>217</v>
      </c>
      <c r="CN220" s="197">
        <f t="shared" si="364"/>
        <v>-4.4099329497570086</v>
      </c>
      <c r="CO220" s="197">
        <f t="shared" si="365"/>
        <v>117.09475501834665</v>
      </c>
      <c r="CP220" s="197">
        <f t="shared" si="366"/>
        <v>-8.5666731162989596</v>
      </c>
    </row>
    <row r="221" spans="91:94" x14ac:dyDescent="0.25">
      <c r="CM221" s="197">
        <v>218</v>
      </c>
      <c r="CN221" s="197">
        <f t="shared" si="364"/>
        <v>-4.471563800158509</v>
      </c>
      <c r="CO221" s="197">
        <f t="shared" si="365"/>
        <v>117.63436218432982</v>
      </c>
      <c r="CP221" s="197">
        <f t="shared" si="366"/>
        <v>-8.6863963309791892</v>
      </c>
    </row>
    <row r="222" spans="91:94" x14ac:dyDescent="0.25">
      <c r="CM222" s="197">
        <v>219</v>
      </c>
      <c r="CN222" s="197">
        <f t="shared" si="364"/>
        <v>-4.5336866588733118</v>
      </c>
      <c r="CO222" s="197">
        <f t="shared" si="365"/>
        <v>118.17396935031297</v>
      </c>
      <c r="CP222" s="197">
        <f t="shared" si="366"/>
        <v>-8.8070753140211107</v>
      </c>
    </row>
    <row r="223" spans="91:94" x14ac:dyDescent="0.25">
      <c r="CM223" s="197">
        <v>220</v>
      </c>
      <c r="CN223" s="197">
        <f t="shared" si="364"/>
        <v>-4.5963015259014162</v>
      </c>
      <c r="CO223" s="197">
        <f t="shared" si="365"/>
        <v>118.71357651629614</v>
      </c>
      <c r="CP223" s="197">
        <f t="shared" si="366"/>
        <v>-8.928710065424724</v>
      </c>
    </row>
    <row r="224" spans="91:94" x14ac:dyDescent="0.25">
      <c r="CM224" s="197">
        <v>221</v>
      </c>
      <c r="CN224" s="197">
        <f t="shared" si="364"/>
        <v>-4.6594084012428221</v>
      </c>
      <c r="CO224" s="197">
        <f t="shared" si="365"/>
        <v>119.2531836822793</v>
      </c>
      <c r="CP224" s="197">
        <f t="shared" si="366"/>
        <v>-9.0513005851900292</v>
      </c>
    </row>
    <row r="225" spans="91:94" x14ac:dyDescent="0.25">
      <c r="CM225" s="197">
        <v>222</v>
      </c>
      <c r="CN225" s="197">
        <f t="shared" si="364"/>
        <v>-4.7230072848975304</v>
      </c>
      <c r="CO225" s="197">
        <f t="shared" si="365"/>
        <v>119.79279084826247</v>
      </c>
      <c r="CP225" s="197">
        <f t="shared" si="366"/>
        <v>-9.1748468733170245</v>
      </c>
    </row>
    <row r="226" spans="91:94" x14ac:dyDescent="0.25">
      <c r="CM226" s="197">
        <v>223</v>
      </c>
      <c r="CN226" s="197">
        <f t="shared" si="364"/>
        <v>-4.7870981768655421</v>
      </c>
      <c r="CO226" s="197">
        <f t="shared" si="365"/>
        <v>120.33239801424563</v>
      </c>
      <c r="CP226" s="197">
        <f t="shared" si="366"/>
        <v>-9.2993489298057153</v>
      </c>
    </row>
    <row r="227" spans="91:94" x14ac:dyDescent="0.25">
      <c r="CM227" s="197">
        <v>224</v>
      </c>
      <c r="CN227" s="197">
        <f t="shared" si="364"/>
        <v>-4.8516810771468535</v>
      </c>
      <c r="CO227" s="197">
        <f t="shared" si="365"/>
        <v>120.8720051802288</v>
      </c>
      <c r="CP227" s="197">
        <f t="shared" si="366"/>
        <v>-9.4248067546560925</v>
      </c>
    </row>
    <row r="228" spans="91:94" x14ac:dyDescent="0.25">
      <c r="CM228" s="197">
        <v>225</v>
      </c>
      <c r="CN228" s="197">
        <f t="shared" si="364"/>
        <v>-4.9167559857414664</v>
      </c>
      <c r="CO228" s="197">
        <f t="shared" si="365"/>
        <v>121.41161234621197</v>
      </c>
      <c r="CP228" s="197">
        <f t="shared" si="366"/>
        <v>-9.5512203478681617</v>
      </c>
    </row>
    <row r="229" spans="91:94" x14ac:dyDescent="0.25">
      <c r="CM229" s="197">
        <v>226</v>
      </c>
      <c r="CN229" s="197">
        <f t="shared" si="364"/>
        <v>-4.9823229026493818</v>
      </c>
      <c r="CO229" s="197">
        <f t="shared" si="365"/>
        <v>121.95121951219512</v>
      </c>
      <c r="CP229" s="197">
        <f t="shared" si="366"/>
        <v>-9.6785897094419244</v>
      </c>
    </row>
    <row r="230" spans="91:94" x14ac:dyDescent="0.25">
      <c r="CM230" s="197">
        <v>227</v>
      </c>
      <c r="CN230" s="197">
        <f t="shared" si="364"/>
        <v>-5.0483818278705979</v>
      </c>
      <c r="CO230" s="197">
        <f t="shared" si="365"/>
        <v>122.49082667817829</v>
      </c>
      <c r="CP230" s="197">
        <f t="shared" si="366"/>
        <v>-9.8069148393773755</v>
      </c>
    </row>
    <row r="231" spans="91:94" x14ac:dyDescent="0.25">
      <c r="CM231" s="197">
        <v>228</v>
      </c>
      <c r="CN231" s="197">
        <f t="shared" si="364"/>
        <v>-5.1149327614051172</v>
      </c>
      <c r="CO231" s="197">
        <f t="shared" si="365"/>
        <v>123.03043384416145</v>
      </c>
      <c r="CP231" s="197">
        <f t="shared" si="366"/>
        <v>-9.936195737674522</v>
      </c>
    </row>
    <row r="232" spans="91:94" x14ac:dyDescent="0.25">
      <c r="CM232" s="197">
        <v>229</v>
      </c>
      <c r="CN232" s="197">
        <f t="shared" si="364"/>
        <v>-5.1819757032529381</v>
      </c>
      <c r="CO232" s="197">
        <f t="shared" si="365"/>
        <v>123.57004101014462</v>
      </c>
      <c r="CP232" s="197">
        <f t="shared" si="366"/>
        <v>-10.066432404333357</v>
      </c>
    </row>
    <row r="233" spans="91:94" x14ac:dyDescent="0.25">
      <c r="CM233" s="197">
        <v>230</v>
      </c>
      <c r="CN233" s="197">
        <f t="shared" si="364"/>
        <v>-5.2495106534140605</v>
      </c>
      <c r="CO233" s="197">
        <f t="shared" si="365"/>
        <v>124.10964817612778</v>
      </c>
      <c r="CP233" s="197">
        <f t="shared" si="366"/>
        <v>-10.197624839353885</v>
      </c>
    </row>
    <row r="234" spans="91:94" x14ac:dyDescent="0.25">
      <c r="CM234" s="197">
        <v>231</v>
      </c>
      <c r="CN234" s="197">
        <f t="shared" si="364"/>
        <v>-5.3175376118884854</v>
      </c>
      <c r="CO234" s="197">
        <f t="shared" si="365"/>
        <v>124.64925534211095</v>
      </c>
      <c r="CP234" s="197">
        <f t="shared" si="366"/>
        <v>-10.329773042736104</v>
      </c>
    </row>
    <row r="235" spans="91:94" x14ac:dyDescent="0.25">
      <c r="CM235" s="197">
        <v>232</v>
      </c>
      <c r="CN235" s="197">
        <f t="shared" si="364"/>
        <v>-5.3860565786762118</v>
      </c>
      <c r="CO235" s="197">
        <f t="shared" si="365"/>
        <v>125.1888625080941</v>
      </c>
      <c r="CP235" s="197">
        <f t="shared" si="366"/>
        <v>-10.462877014480014</v>
      </c>
    </row>
    <row r="236" spans="91:94" x14ac:dyDescent="0.25">
      <c r="CM236" s="197">
        <v>233</v>
      </c>
      <c r="CN236" s="197">
        <f t="shared" si="364"/>
        <v>-5.4550675537772397</v>
      </c>
      <c r="CO236" s="197">
        <f t="shared" si="365"/>
        <v>125.72846967407727</v>
      </c>
      <c r="CP236" s="197">
        <f t="shared" si="366"/>
        <v>-10.596936754585617</v>
      </c>
    </row>
    <row r="237" spans="91:94" x14ac:dyDescent="0.25">
      <c r="CM237" s="197">
        <v>234</v>
      </c>
      <c r="CN237" s="197">
        <f t="shared" si="364"/>
        <v>-5.5245705371915692</v>
      </c>
      <c r="CO237" s="197">
        <f t="shared" si="365"/>
        <v>126.26807684006044</v>
      </c>
      <c r="CP237" s="197">
        <f t="shared" si="366"/>
        <v>-10.731952263052909</v>
      </c>
    </row>
    <row r="238" spans="91:94" x14ac:dyDescent="0.25">
      <c r="CM238" s="197">
        <v>235</v>
      </c>
      <c r="CN238" s="197">
        <f t="shared" si="364"/>
        <v>-5.5945655289192011</v>
      </c>
      <c r="CO238" s="197">
        <f t="shared" si="365"/>
        <v>126.8076840060436</v>
      </c>
      <c r="CP238" s="197">
        <f t="shared" si="366"/>
        <v>-10.867923539881895</v>
      </c>
    </row>
    <row r="239" spans="91:94" x14ac:dyDescent="0.25">
      <c r="CM239" s="197">
        <v>236</v>
      </c>
      <c r="CN239" s="197">
        <f t="shared" si="364"/>
        <v>-5.6650525289601363</v>
      </c>
      <c r="CO239" s="197">
        <f t="shared" si="365"/>
        <v>127.34729117202677</v>
      </c>
      <c r="CP239" s="197">
        <f t="shared" si="366"/>
        <v>-11.004850585072573</v>
      </c>
    </row>
    <row r="240" spans="91:94" x14ac:dyDescent="0.25">
      <c r="CM240" s="197">
        <v>237</v>
      </c>
      <c r="CN240" s="197">
        <f t="shared" si="364"/>
        <v>-5.7360315373143713</v>
      </c>
      <c r="CO240" s="197">
        <f t="shared" si="365"/>
        <v>127.88689833800993</v>
      </c>
      <c r="CP240" s="197">
        <f t="shared" si="366"/>
        <v>-11.142733398624939</v>
      </c>
    </row>
    <row r="241" spans="91:94" x14ac:dyDescent="0.25">
      <c r="CM241" s="197">
        <v>238</v>
      </c>
      <c r="CN241" s="197">
        <f t="shared" si="364"/>
        <v>-5.8075025539819096</v>
      </c>
      <c r="CO241" s="197">
        <f t="shared" si="365"/>
        <v>128.4265055039931</v>
      </c>
      <c r="CP241" s="197">
        <f t="shared" si="366"/>
        <v>-11.281571980539001</v>
      </c>
    </row>
    <row r="242" spans="91:94" x14ac:dyDescent="0.25">
      <c r="CM242" s="197">
        <v>239</v>
      </c>
      <c r="CN242" s="197">
        <f t="shared" si="364"/>
        <v>-5.8794655789627468</v>
      </c>
      <c r="CO242" s="197">
        <f t="shared" si="365"/>
        <v>128.96611266997627</v>
      </c>
      <c r="CP242" s="197">
        <f t="shared" si="366"/>
        <v>-11.421366330814745</v>
      </c>
    </row>
    <row r="243" spans="91:94" x14ac:dyDescent="0.25">
      <c r="CM243" s="197">
        <v>240</v>
      </c>
      <c r="CN243" s="197">
        <f t="shared" si="364"/>
        <v>-5.9519206122568864</v>
      </c>
      <c r="CO243" s="197">
        <f t="shared" si="365"/>
        <v>129.50571983595941</v>
      </c>
      <c r="CP243" s="197">
        <f t="shared" si="366"/>
        <v>-11.562116449452185</v>
      </c>
    </row>
    <row r="244" spans="91:94" x14ac:dyDescent="0.25">
      <c r="CM244" s="197">
        <v>241</v>
      </c>
      <c r="CN244" s="197">
        <f t="shared" si="364"/>
        <v>-6.0248676538643311</v>
      </c>
      <c r="CO244" s="197">
        <f t="shared" si="365"/>
        <v>130.04532700194258</v>
      </c>
      <c r="CP244" s="197">
        <f t="shared" si="366"/>
        <v>-11.703822336451323</v>
      </c>
    </row>
    <row r="245" spans="91:94" x14ac:dyDescent="0.25">
      <c r="CM245" s="197">
        <v>242</v>
      </c>
      <c r="CN245" s="197">
        <f t="shared" si="364"/>
        <v>-6.0983067037850756</v>
      </c>
      <c r="CO245" s="197">
        <f t="shared" si="365"/>
        <v>130.58493416792575</v>
      </c>
      <c r="CP245" s="197">
        <f t="shared" si="366"/>
        <v>-11.846483991812148</v>
      </c>
    </row>
    <row r="246" spans="91:94" x14ac:dyDescent="0.25">
      <c r="CM246" s="197">
        <v>243</v>
      </c>
      <c r="CN246" s="197">
        <f t="shared" si="364"/>
        <v>-6.1722377620191216</v>
      </c>
      <c r="CO246" s="197">
        <f t="shared" si="365"/>
        <v>131.12454133390892</v>
      </c>
      <c r="CP246" s="197">
        <f t="shared" si="366"/>
        <v>-11.990101415534664</v>
      </c>
    </row>
    <row r="247" spans="91:94" x14ac:dyDescent="0.25">
      <c r="CM247" s="197">
        <v>244</v>
      </c>
      <c r="CN247" s="197">
        <f t="shared" si="364"/>
        <v>-6.2466608285664709</v>
      </c>
      <c r="CO247" s="197">
        <f t="shared" si="365"/>
        <v>131.66414849989209</v>
      </c>
      <c r="CP247" s="197">
        <f t="shared" si="366"/>
        <v>-12.134674607618873</v>
      </c>
    </row>
    <row r="248" spans="91:94" x14ac:dyDescent="0.25">
      <c r="CM248" s="197">
        <v>245</v>
      </c>
      <c r="CN248" s="197">
        <f t="shared" si="364"/>
        <v>-6.3215759034271199</v>
      </c>
      <c r="CO248" s="197">
        <f t="shared" si="365"/>
        <v>132.20375566587524</v>
      </c>
      <c r="CP248" s="197">
        <f t="shared" si="366"/>
        <v>-12.280203568064771</v>
      </c>
    </row>
    <row r="249" spans="91:94" x14ac:dyDescent="0.25">
      <c r="CM249" s="197">
        <v>246</v>
      </c>
      <c r="CN249" s="197">
        <f t="shared" si="364"/>
        <v>-6.3969829866010723</v>
      </c>
      <c r="CO249" s="197">
        <f t="shared" si="365"/>
        <v>132.74336283185841</v>
      </c>
      <c r="CP249" s="197">
        <f t="shared" si="366"/>
        <v>-12.426688296872362</v>
      </c>
    </row>
    <row r="250" spans="91:94" x14ac:dyDescent="0.25">
      <c r="CM250" s="197">
        <v>247</v>
      </c>
      <c r="CN250" s="197">
        <f t="shared" si="364"/>
        <v>-6.4728820780883272</v>
      </c>
      <c r="CO250" s="197">
        <f t="shared" si="365"/>
        <v>133.28296999784158</v>
      </c>
      <c r="CP250" s="197">
        <f t="shared" si="366"/>
        <v>-12.574128794041647</v>
      </c>
    </row>
    <row r="251" spans="91:94" x14ac:dyDescent="0.25">
      <c r="CM251" s="197">
        <v>248</v>
      </c>
      <c r="CN251" s="197">
        <f t="shared" si="364"/>
        <v>-6.5492731778888826</v>
      </c>
      <c r="CO251" s="197">
        <f t="shared" si="365"/>
        <v>133.82257716382475</v>
      </c>
      <c r="CP251" s="197">
        <f t="shared" si="366"/>
        <v>-12.72252505957262</v>
      </c>
    </row>
    <row r="252" spans="91:94" x14ac:dyDescent="0.25">
      <c r="CM252" s="197">
        <v>249</v>
      </c>
      <c r="CN252" s="197">
        <f t="shared" si="364"/>
        <v>-6.6261562860027388</v>
      </c>
      <c r="CO252" s="197">
        <f t="shared" si="365"/>
        <v>134.36218432980792</v>
      </c>
      <c r="CP252" s="197">
        <f t="shared" si="366"/>
        <v>-12.871877093465281</v>
      </c>
    </row>
    <row r="253" spans="91:94" x14ac:dyDescent="0.25">
      <c r="CM253" s="196">
        <v>250</v>
      </c>
      <c r="CN253" s="196">
        <f t="shared" si="364"/>
        <v>-6.7035314024299</v>
      </c>
      <c r="CO253" s="196">
        <f t="shared" si="365"/>
        <v>134.90179149579106</v>
      </c>
      <c r="CP253" s="196">
        <f t="shared" si="366"/>
        <v>-13.022184895719642</v>
      </c>
    </row>
  </sheetData>
  <mergeCells count="10">
    <mergeCell ref="BX1:CK1"/>
    <mergeCell ref="AT2:BG2"/>
    <mergeCell ref="BX2:CK2"/>
    <mergeCell ref="AT3:BG3"/>
    <mergeCell ref="BX3:CK3"/>
    <mergeCell ref="AE3:AR3"/>
    <mergeCell ref="AE2:AR2"/>
    <mergeCell ref="BI2:BV2"/>
    <mergeCell ref="BI3:BV3"/>
    <mergeCell ref="BI1:BV1"/>
  </mergeCells>
  <phoneticPr fontId="1" type="noConversion"/>
  <pageMargins left="0.5" right="0.5" top="0.5" bottom="0.5" header="0.5" footer="0.5"/>
  <pageSetup scale="72" fitToHeight="20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5" x14ac:dyDescent="0.25"/>
  <sheetData/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5" x14ac:dyDescent="0.25"/>
  <sheetData/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94</vt:i4>
      </vt:variant>
    </vt:vector>
  </HeadingPairs>
  <TitlesOfParts>
    <vt:vector size="97" baseType="lpstr">
      <vt:lpstr>Sheet1</vt:lpstr>
      <vt:lpstr>Sheet2</vt:lpstr>
      <vt:lpstr>Sheet3</vt:lpstr>
      <vt:lpstr>AllUpWeightWetKg</vt:lpstr>
      <vt:lpstr>AllUpWeightWetLb</vt:lpstr>
      <vt:lpstr>aN</vt:lpstr>
      <vt:lpstr>aNprime</vt:lpstr>
      <vt:lpstr>aR</vt:lpstr>
      <vt:lpstr>aRprime</vt:lpstr>
      <vt:lpstr>Ballast</vt:lpstr>
      <vt:lpstr>bN</vt:lpstr>
      <vt:lpstr>bNprime</vt:lpstr>
      <vt:lpstr>bR</vt:lpstr>
      <vt:lpstr>bRprime</vt:lpstr>
      <vt:lpstr>cN</vt:lpstr>
      <vt:lpstr>cNprime</vt:lpstr>
      <vt:lpstr>cR</vt:lpstr>
      <vt:lpstr>cRprime</vt:lpstr>
      <vt:lpstr>E1C</vt:lpstr>
      <vt:lpstr>E1Cprime</vt:lpstr>
      <vt:lpstr>Eairmass</vt:lpstr>
      <vt:lpstr>Eground</vt:lpstr>
      <vt:lpstr>FtToM</vt:lpstr>
      <vt:lpstr>FtToSmi</vt:lpstr>
      <vt:lpstr>GallonToKg</vt:lpstr>
      <vt:lpstr>GallonToLb</vt:lpstr>
      <vt:lpstr>Glider</vt:lpstr>
      <vt:lpstr>HWind</vt:lpstr>
      <vt:lpstr>ID</vt:lpstr>
      <vt:lpstr>KgToGallon</vt:lpstr>
      <vt:lpstr>KgToLb</vt:lpstr>
      <vt:lpstr>KmToNmi</vt:lpstr>
      <vt:lpstr>KmToSmi</vt:lpstr>
      <vt:lpstr>KphToKts</vt:lpstr>
      <vt:lpstr>KphToMps</vt:lpstr>
      <vt:lpstr>KtsToKph</vt:lpstr>
      <vt:lpstr>KtsToMps</vt:lpstr>
      <vt:lpstr>LbToGallon</vt:lpstr>
      <vt:lpstr>LbToKg</vt:lpstr>
      <vt:lpstr>Max_Water</vt:lpstr>
      <vt:lpstr>MaxAllUpWeight</vt:lpstr>
      <vt:lpstr>MC</vt:lpstr>
      <vt:lpstr>MCwind</vt:lpstr>
      <vt:lpstr>Method</vt:lpstr>
      <vt:lpstr>MpsToKph</vt:lpstr>
      <vt:lpstr>MpsToKts</vt:lpstr>
      <vt:lpstr>MToFt</vt:lpstr>
      <vt:lpstr>NmiToKm</vt:lpstr>
      <vt:lpstr>NmiToSmi</vt:lpstr>
      <vt:lpstr>Sheet1!Print_Area</vt:lpstr>
      <vt:lpstr>SlopeRedLine</vt:lpstr>
      <vt:lpstr>SmiToFt</vt:lpstr>
      <vt:lpstr>SmiToKm</vt:lpstr>
      <vt:lpstr>SmiToNmi</vt:lpstr>
      <vt:lpstr>SqrRtRatio</vt:lpstr>
      <vt:lpstr>V1C</vt:lpstr>
      <vt:lpstr>V1CPrime</vt:lpstr>
      <vt:lpstr>V1Nk</vt:lpstr>
      <vt:lpstr>V1Nm</vt:lpstr>
      <vt:lpstr>V1R</vt:lpstr>
      <vt:lpstr>V1Rprime</vt:lpstr>
      <vt:lpstr>V2C</vt:lpstr>
      <vt:lpstr>V2Cprime</vt:lpstr>
      <vt:lpstr>V2Nk</vt:lpstr>
      <vt:lpstr>V2Nm</vt:lpstr>
      <vt:lpstr>V2R</vt:lpstr>
      <vt:lpstr>V2Rprime</vt:lpstr>
      <vt:lpstr>V3Nk</vt:lpstr>
      <vt:lpstr>V3Nm</vt:lpstr>
      <vt:lpstr>V3R</vt:lpstr>
      <vt:lpstr>V3Rprime</vt:lpstr>
      <vt:lpstr>Vcc</vt:lpstr>
      <vt:lpstr>Vstf</vt:lpstr>
      <vt:lpstr>W1Nk</vt:lpstr>
      <vt:lpstr>W1Nm</vt:lpstr>
      <vt:lpstr>W1R</vt:lpstr>
      <vt:lpstr>W1Rprimek</vt:lpstr>
      <vt:lpstr>W1Rprimem</vt:lpstr>
      <vt:lpstr>W2C</vt:lpstr>
      <vt:lpstr>W2Nk</vt:lpstr>
      <vt:lpstr>W2Nm</vt:lpstr>
      <vt:lpstr>W2R</vt:lpstr>
      <vt:lpstr>W2Rprimek</vt:lpstr>
      <vt:lpstr>W2Rprimem</vt:lpstr>
      <vt:lpstr>W3Nk</vt:lpstr>
      <vt:lpstr>W3Nm</vt:lpstr>
      <vt:lpstr>W3R</vt:lpstr>
      <vt:lpstr>W3Rprimek</vt:lpstr>
      <vt:lpstr>W3Rprimem</vt:lpstr>
      <vt:lpstr>WeightGlider</vt:lpstr>
      <vt:lpstr>WeightPolar</vt:lpstr>
      <vt:lpstr>WingArea</vt:lpstr>
      <vt:lpstr>WingLoadingKg</vt:lpstr>
      <vt:lpstr>WingLoadingLb</vt:lpstr>
      <vt:lpstr>Wm</vt:lpstr>
      <vt:lpstr>Wstf</vt:lpstr>
      <vt:lpstr>Wtotal</vt:lpstr>
    </vt:vector>
  </TitlesOfParts>
  <Company>Cumulus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Remde</dc:creator>
  <cp:lastModifiedBy>Paul Remde</cp:lastModifiedBy>
  <cp:lastPrinted>2017-03-22T17:43:57Z</cp:lastPrinted>
  <dcterms:created xsi:type="dcterms:W3CDTF">2005-08-04T21:56:18Z</dcterms:created>
  <dcterms:modified xsi:type="dcterms:W3CDTF">2021-01-06T21:48:03Z</dcterms:modified>
</cp:coreProperties>
</file>