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6.xml" ContentType="application/vnd.openxmlformats-officedocument.spreadsheetml.tab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10.xml" ContentType="application/vnd.openxmlformats-officedocument.spreadsheetml.tab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defaultThemeVersion="124226"/>
  <mc:AlternateContent xmlns:mc="http://schemas.openxmlformats.org/markup-compatibility/2006">
    <mc:Choice Requires="x15">
      <x15ac:absPath xmlns:x15ac="http://schemas.microsoft.com/office/spreadsheetml/2010/11/ac" url="C:\Users\q1025311\Desktop\BITS-PILANI-MTECH\MTECH_Course\2nd_SEM\Intro_StatMath\Ass1\"/>
    </mc:Choice>
  </mc:AlternateContent>
  <xr:revisionPtr revIDLastSave="0" documentId="13_ncr:1_{746A0177-BC20-44C9-98E9-103D76D6E738}" xr6:coauthVersionLast="45" xr6:coauthVersionMax="45" xr10:uidLastSave="{00000000-0000-0000-0000-000000000000}"/>
  <bookViews>
    <workbookView xWindow="-108" yWindow="-108" windowWidth="23256" windowHeight="12720" firstSheet="1" activeTab="2" xr2:uid="{00000000-000D-0000-FFFF-FFFF00000000}"/>
  </bookViews>
  <sheets>
    <sheet name="Linear Regression" sheetId="6" r:id="rId1"/>
    <sheet name="Multi-Regr" sheetId="20" r:id="rId2"/>
    <sheet name="ACF" sheetId="21" r:id="rId3"/>
    <sheet name="Time Series" sheetId="17" r:id="rId4"/>
    <sheet name="Time Series 2" sheetId="18" r:id="rId5"/>
    <sheet name="MultiplicativeModel" sheetId="22" r:id="rId6"/>
    <sheet name="ARIMA" sheetId="19" r:id="rId7"/>
    <sheet name="Holt's Method" sheetId="23" r:id="rId8"/>
    <sheet name="Timeseries" sheetId="24" r:id="rId9"/>
  </sheets>
  <externalReferences>
    <externalReference r:id="rId10"/>
  </externalReferences>
  <definedNames>
    <definedName name="_xlnm._FilterDatabase" localSheetId="6" hidden="1">ARIMA!$A$1:$C$66</definedName>
    <definedName name="ExternalData_1" localSheetId="3" hidden="1">'Time Series'!$A$1:$P$8</definedName>
    <definedName name="month">'Time Series'!$C$15:$C$95</definedName>
    <definedName name="origsales">'Time Series'!$D$15:$D$95</definedName>
    <definedName name="period">'Time Series'!$A$15:$A$95</definedName>
    <definedName name="sales">'Time Series'!$E$15:$E$95</definedName>
    <definedName name="sindex">'Time Series'!$O$19:$P$30</definedName>
    <definedName name="solver_adj" localSheetId="6" hidden="1">ARIMA!$O$10</definedName>
    <definedName name="solver_adj" localSheetId="7" hidden="1">'Holt''s Method'!$M$2:$M$3</definedName>
    <definedName name="solver_cvg" localSheetId="6" hidden="1">0.0001</definedName>
    <definedName name="solver_cvg" localSheetId="7" hidden="1">0.0001</definedName>
    <definedName name="solver_drv" localSheetId="6" hidden="1">1</definedName>
    <definedName name="solver_drv" localSheetId="7" hidden="1">1</definedName>
    <definedName name="solver_eng" localSheetId="6" hidden="1">1</definedName>
    <definedName name="solver_eng" localSheetId="7" hidden="1">1</definedName>
    <definedName name="solver_est" localSheetId="6" hidden="1">1</definedName>
    <definedName name="solver_est" localSheetId="7" hidden="1">1</definedName>
    <definedName name="solver_itr" localSheetId="6" hidden="1">2147483647</definedName>
    <definedName name="solver_itr" localSheetId="7" hidden="1">2147483647</definedName>
    <definedName name="solver_lhs1" localSheetId="6" hidden="1">ARIMA!$O$10</definedName>
    <definedName name="solver_lhs1" localSheetId="7" hidden="1">'Holt''s Method'!$M$2</definedName>
    <definedName name="solver_lhs2" localSheetId="6" hidden="1">ARIMA!$O$10</definedName>
    <definedName name="solver_lhs2" localSheetId="7" hidden="1">'Holt''s Method'!$M$2</definedName>
    <definedName name="solver_lhs3" localSheetId="6" hidden="1">ARIMA!$D$3</definedName>
    <definedName name="solver_lhs3" localSheetId="7" hidden="1">'Holt''s Method'!$M$3</definedName>
    <definedName name="solver_lhs4" localSheetId="7" hidden="1">'Holt''s Method'!$M$3</definedName>
    <definedName name="solver_mip" localSheetId="6" hidden="1">2147483647</definedName>
    <definedName name="solver_mip" localSheetId="7" hidden="1">2147483647</definedName>
    <definedName name="solver_mni" localSheetId="6" hidden="1">30</definedName>
    <definedName name="solver_mni" localSheetId="7" hidden="1">30</definedName>
    <definedName name="solver_mrt" localSheetId="6" hidden="1">0.075</definedName>
    <definedName name="solver_mrt" localSheetId="7" hidden="1">0.075</definedName>
    <definedName name="solver_msl" localSheetId="6" hidden="1">2</definedName>
    <definedName name="solver_msl" localSheetId="7" hidden="1">2</definedName>
    <definedName name="solver_neg" localSheetId="6" hidden="1">2</definedName>
    <definedName name="solver_neg" localSheetId="7" hidden="1">1</definedName>
    <definedName name="solver_nod" localSheetId="6" hidden="1">2147483647</definedName>
    <definedName name="solver_nod" localSheetId="7" hidden="1">2147483647</definedName>
    <definedName name="solver_num" localSheetId="6" hidden="1">2</definedName>
    <definedName name="solver_num" localSheetId="7" hidden="1">4</definedName>
    <definedName name="solver_nwt" localSheetId="6" hidden="1">1</definedName>
    <definedName name="solver_nwt" localSheetId="7" hidden="1">1</definedName>
    <definedName name="solver_opt" localSheetId="6" hidden="1">ARIMA!$O$13</definedName>
    <definedName name="solver_opt" localSheetId="7" hidden="1">'Holt''s Method'!$M$4</definedName>
    <definedName name="solver_pre" localSheetId="6" hidden="1">0.000001</definedName>
    <definedName name="solver_pre" localSheetId="7" hidden="1">0.000001</definedName>
    <definedName name="solver_rbv" localSheetId="6" hidden="1">1</definedName>
    <definedName name="solver_rbv" localSheetId="7" hidden="1">1</definedName>
    <definedName name="solver_rel1" localSheetId="6" hidden="1">1</definedName>
    <definedName name="solver_rel1" localSheetId="7" hidden="1">1</definedName>
    <definedName name="solver_rel2" localSheetId="6" hidden="1">3</definedName>
    <definedName name="solver_rel2" localSheetId="7" hidden="1">3</definedName>
    <definedName name="solver_rel3" localSheetId="6" hidden="1">3</definedName>
    <definedName name="solver_rel3" localSheetId="7" hidden="1">1</definedName>
    <definedName name="solver_rel4" localSheetId="7" hidden="1">3</definedName>
    <definedName name="solver_rhs1" localSheetId="6" hidden="1">1</definedName>
    <definedName name="solver_rhs1" localSheetId="7" hidden="1">1</definedName>
    <definedName name="solver_rhs2" localSheetId="6" hidden="1">-1</definedName>
    <definedName name="solver_rhs2" localSheetId="7" hidden="1">0</definedName>
    <definedName name="solver_rhs3" localSheetId="6" hidden="1">-1</definedName>
    <definedName name="solver_rhs3" localSheetId="7" hidden="1">1</definedName>
    <definedName name="solver_rhs4" localSheetId="7" hidden="1">0</definedName>
    <definedName name="solver_rlx" localSheetId="6" hidden="1">2</definedName>
    <definedName name="solver_rlx" localSheetId="7" hidden="1">2</definedName>
    <definedName name="solver_rsd" localSheetId="6" hidden="1">0</definedName>
    <definedName name="solver_rsd" localSheetId="7" hidden="1">0</definedName>
    <definedName name="solver_scl" localSheetId="6" hidden="1">1</definedName>
    <definedName name="solver_scl" localSheetId="7" hidden="1">1</definedName>
    <definedName name="solver_sho" localSheetId="6" hidden="1">2</definedName>
    <definedName name="solver_sho" localSheetId="7" hidden="1">2</definedName>
    <definedName name="solver_ssz" localSheetId="6" hidden="1">100</definedName>
    <definedName name="solver_ssz" localSheetId="7" hidden="1">100</definedName>
    <definedName name="solver_tim" localSheetId="6" hidden="1">2147483647</definedName>
    <definedName name="solver_tim" localSheetId="7" hidden="1">2147483647</definedName>
    <definedName name="solver_tol" localSheetId="6" hidden="1">0.01</definedName>
    <definedName name="solver_tol" localSheetId="7" hidden="1">0.01</definedName>
    <definedName name="solver_typ" localSheetId="6" hidden="1">2</definedName>
    <definedName name="solver_typ" localSheetId="7" hidden="1">2</definedName>
    <definedName name="solver_val" localSheetId="6" hidden="1">0</definedName>
    <definedName name="solver_val" localSheetId="7" hidden="1">0</definedName>
    <definedName name="solver_ver" localSheetId="6" hidden="1">3</definedName>
    <definedName name="solver_ver" localSheetId="7"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67" i="24" l="1" a="1"/>
  <c r="C67" i="24" s="1"/>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B4" i="24"/>
  <c r="B3" i="24"/>
  <c r="B2" i="24"/>
  <c r="I5" i="23"/>
  <c r="G5" i="23"/>
  <c r="H5" i="23" s="1"/>
  <c r="D5" i="23"/>
  <c r="F4" i="23"/>
  <c r="G4" i="23" s="1"/>
  <c r="H4" i="23" s="1"/>
  <c r="B68" i="24" l="1" a="1"/>
  <c r="F62" i="24"/>
  <c r="F58" i="24"/>
  <c r="F54" i="24"/>
  <c r="F46" i="24"/>
  <c r="F42" i="24"/>
  <c r="F38" i="24"/>
  <c r="F59" i="24"/>
  <c r="F55" i="24"/>
  <c r="F51" i="24"/>
  <c r="F43" i="24"/>
  <c r="F39" i="24"/>
  <c r="F35" i="24"/>
  <c r="B67" i="24"/>
  <c r="D6" i="23"/>
  <c r="I4" i="23"/>
  <c r="E5" i="23"/>
  <c r="F6" i="23" s="1"/>
  <c r="H51" i="24" l="1"/>
  <c r="H54" i="24"/>
  <c r="H55" i="24"/>
  <c r="H58" i="24"/>
  <c r="H43" i="24"/>
  <c r="H46" i="24"/>
  <c r="H35" i="24"/>
  <c r="H38" i="24"/>
  <c r="H39" i="24"/>
  <c r="H42" i="24"/>
  <c r="H59" i="24"/>
  <c r="H62" i="24"/>
  <c r="F61" i="24"/>
  <c r="F57" i="24"/>
  <c r="F53" i="24"/>
  <c r="F49" i="24"/>
  <c r="F45" i="24"/>
  <c r="F41" i="24"/>
  <c r="F37" i="24"/>
  <c r="F32" i="24"/>
  <c r="F28" i="24"/>
  <c r="F24" i="24"/>
  <c r="F20" i="24"/>
  <c r="F34" i="24"/>
  <c r="F29" i="24"/>
  <c r="F25" i="24"/>
  <c r="F21" i="24"/>
  <c r="F17" i="24"/>
  <c r="F64" i="24"/>
  <c r="F60" i="24"/>
  <c r="F56" i="24"/>
  <c r="F52" i="24"/>
  <c r="F48" i="24"/>
  <c r="F44" i="24"/>
  <c r="F40" i="24"/>
  <c r="F36" i="24"/>
  <c r="F33" i="24"/>
  <c r="F30" i="24"/>
  <c r="F26" i="24"/>
  <c r="F22" i="24"/>
  <c r="F18" i="24"/>
  <c r="F31" i="24"/>
  <c r="F23" i="24"/>
  <c r="F15" i="24"/>
  <c r="F11" i="24"/>
  <c r="F7" i="24"/>
  <c r="F6" i="24"/>
  <c r="F2" i="24"/>
  <c r="F16" i="24"/>
  <c r="F12" i="24"/>
  <c r="F8" i="24"/>
  <c r="F5" i="24"/>
  <c r="F3" i="24"/>
  <c r="F27" i="24"/>
  <c r="F19" i="24"/>
  <c r="F13" i="24"/>
  <c r="F9" i="24"/>
  <c r="F4" i="24"/>
  <c r="F10" i="24"/>
  <c r="F14" i="24"/>
  <c r="F47" i="24"/>
  <c r="F63" i="24"/>
  <c r="F50" i="24"/>
  <c r="F65" i="24"/>
  <c r="D68" i="24"/>
  <c r="C68" i="24"/>
  <c r="B68" i="24"/>
  <c r="E6" i="23"/>
  <c r="F7" i="23" s="1"/>
  <c r="G6" i="23"/>
  <c r="H6" i="23" s="1"/>
  <c r="I6" i="23"/>
  <c r="H63" i="24" l="1"/>
  <c r="H12" i="24"/>
  <c r="H31" i="24"/>
  <c r="H44" i="24"/>
  <c r="H24" i="24"/>
  <c r="H57" i="24"/>
  <c r="H65" i="24"/>
  <c r="H14" i="24"/>
  <c r="H13" i="24"/>
  <c r="H5" i="24"/>
  <c r="H2" i="24"/>
  <c r="H15" i="24"/>
  <c r="H22" i="24"/>
  <c r="H36" i="24"/>
  <c r="H52" i="24"/>
  <c r="H17" i="24"/>
  <c r="H34" i="24"/>
  <c r="H32" i="24"/>
  <c r="H49" i="24"/>
  <c r="H50" i="24"/>
  <c r="H10" i="24"/>
  <c r="H19" i="24"/>
  <c r="H8" i="24"/>
  <c r="H6" i="24"/>
  <c r="H23" i="24"/>
  <c r="H26" i="24"/>
  <c r="H40" i="24"/>
  <c r="H56" i="24"/>
  <c r="H21" i="24"/>
  <c r="H20" i="24"/>
  <c r="H37" i="24"/>
  <c r="H53" i="24"/>
  <c r="H27" i="24"/>
  <c r="H25" i="24"/>
  <c r="H4" i="24"/>
  <c r="H7" i="24"/>
  <c r="H30" i="24"/>
  <c r="H60" i="24"/>
  <c r="H41" i="24"/>
  <c r="G63" i="24"/>
  <c r="G59" i="24"/>
  <c r="G55" i="24"/>
  <c r="G51" i="24"/>
  <c r="G47" i="24"/>
  <c r="G43" i="24"/>
  <c r="G39" i="24"/>
  <c r="G64" i="24"/>
  <c r="G60" i="24"/>
  <c r="G56" i="24"/>
  <c r="G52" i="24"/>
  <c r="G48" i="24"/>
  <c r="G44" i="24"/>
  <c r="G40" i="24"/>
  <c r="G36" i="24"/>
  <c r="G35" i="24"/>
  <c r="G34" i="24"/>
  <c r="G29" i="24"/>
  <c r="G25" i="24"/>
  <c r="G21" i="24"/>
  <c r="G17" i="24"/>
  <c r="G65" i="24"/>
  <c r="G62" i="24"/>
  <c r="G58" i="24"/>
  <c r="G54" i="24"/>
  <c r="G50" i="24"/>
  <c r="G46" i="24"/>
  <c r="G42" i="24"/>
  <c r="G38" i="24"/>
  <c r="G33" i="24"/>
  <c r="G30" i="24"/>
  <c r="G26" i="24"/>
  <c r="G22" i="24"/>
  <c r="G18" i="24"/>
  <c r="G31" i="24"/>
  <c r="G27" i="24"/>
  <c r="G23" i="24"/>
  <c r="G19" i="24"/>
  <c r="G49" i="24"/>
  <c r="G32" i="24"/>
  <c r="G24" i="24"/>
  <c r="G16" i="24"/>
  <c r="G12" i="24"/>
  <c r="G8" i="24"/>
  <c r="G5" i="24"/>
  <c r="G61" i="24"/>
  <c r="G45" i="24"/>
  <c r="G13" i="24"/>
  <c r="G9" i="24"/>
  <c r="G4" i="24"/>
  <c r="G15" i="24"/>
  <c r="G11" i="24"/>
  <c r="G57" i="24"/>
  <c r="G41" i="24"/>
  <c r="G28" i="24"/>
  <c r="G20" i="24"/>
  <c r="G14" i="24"/>
  <c r="G10" i="24"/>
  <c r="G3" i="24"/>
  <c r="G37" i="24"/>
  <c r="G6" i="24"/>
  <c r="G53" i="24"/>
  <c r="G7" i="24"/>
  <c r="G2" i="24"/>
  <c r="H47" i="24"/>
  <c r="H9" i="24"/>
  <c r="H3" i="24"/>
  <c r="H16" i="24"/>
  <c r="H11" i="24"/>
  <c r="H18" i="24"/>
  <c r="H33" i="24"/>
  <c r="H48" i="24"/>
  <c r="H64" i="24"/>
  <c r="H29" i="24"/>
  <c r="H28" i="24"/>
  <c r="H45" i="24"/>
  <c r="H61" i="24"/>
  <c r="I7" i="23"/>
  <c r="G7" i="23"/>
  <c r="H7" i="23" s="1"/>
  <c r="D7" i="23"/>
  <c r="I64" i="24" l="1"/>
  <c r="I60" i="24"/>
  <c r="I56" i="24"/>
  <c r="I52" i="24"/>
  <c r="I48" i="24"/>
  <c r="I44" i="24"/>
  <c r="I40" i="24"/>
  <c r="I36" i="24"/>
  <c r="I32" i="24"/>
  <c r="I28" i="24"/>
  <c r="I24" i="24"/>
  <c r="I20" i="24"/>
  <c r="I16" i="24"/>
  <c r="I4" i="24"/>
  <c r="I12" i="24"/>
  <c r="I8" i="24"/>
  <c r="I61" i="24"/>
  <c r="I57" i="24"/>
  <c r="I53" i="24"/>
  <c r="I49" i="24"/>
  <c r="I45" i="24"/>
  <c r="I41" i="24"/>
  <c r="I37" i="24"/>
  <c r="I65" i="24"/>
  <c r="I33" i="24"/>
  <c r="I29" i="24"/>
  <c r="I25" i="24"/>
  <c r="I21" i="24"/>
  <c r="I17" i="24"/>
  <c r="I5" i="24"/>
  <c r="I13" i="24"/>
  <c r="I9" i="24"/>
  <c r="I31" i="24"/>
  <c r="I27" i="24"/>
  <c r="I23" i="24"/>
  <c r="I19" i="24"/>
  <c r="I63" i="24"/>
  <c r="I59" i="24"/>
  <c r="I55" i="24"/>
  <c r="I51" i="24"/>
  <c r="I47" i="24"/>
  <c r="I43" i="24"/>
  <c r="I39" i="24"/>
  <c r="I35" i="24"/>
  <c r="I3" i="24"/>
  <c r="I15" i="24"/>
  <c r="I11" i="24"/>
  <c r="I7" i="24"/>
  <c r="I62" i="24"/>
  <c r="I58" i="24"/>
  <c r="I54" i="24"/>
  <c r="I50" i="24"/>
  <c r="I46" i="24"/>
  <c r="I42" i="24"/>
  <c r="I38" i="24"/>
  <c r="I34" i="24"/>
  <c r="I14" i="24"/>
  <c r="I10" i="24"/>
  <c r="I26" i="24"/>
  <c r="I18" i="24"/>
  <c r="I6" i="24"/>
  <c r="J6" i="24" s="1"/>
  <c r="I2" i="24"/>
  <c r="J2" i="24" s="1"/>
  <c r="I30" i="24"/>
  <c r="I22" i="24"/>
  <c r="E7" i="23"/>
  <c r="D8" i="23" s="1"/>
  <c r="F8" i="23"/>
  <c r="P6" i="22" a="1"/>
  <c r="P6" i="22" s="1"/>
  <c r="P7" i="22" a="1"/>
  <c r="P7" i="22" s="1"/>
  <c r="P5" i="22" a="1"/>
  <c r="P5" i="22" s="1"/>
  <c r="O3" i="22" a="1"/>
  <c r="O3" i="22" s="1"/>
  <c r="J22" i="24" l="1"/>
  <c r="J18" i="24"/>
  <c r="J34" i="24"/>
  <c r="J50" i="24"/>
  <c r="J7" i="24"/>
  <c r="J35" i="24"/>
  <c r="J51" i="24"/>
  <c r="J19" i="24"/>
  <c r="J9" i="24"/>
  <c r="J21" i="24"/>
  <c r="J65" i="24"/>
  <c r="J49" i="24"/>
  <c r="J8" i="24"/>
  <c r="J20" i="24"/>
  <c r="J36" i="24"/>
  <c r="J52" i="24"/>
  <c r="J30" i="24"/>
  <c r="J26" i="24"/>
  <c r="J38" i="24"/>
  <c r="J54" i="24"/>
  <c r="J11" i="24"/>
  <c r="J39" i="24"/>
  <c r="J55" i="24"/>
  <c r="J23" i="24"/>
  <c r="J13" i="24"/>
  <c r="J25" i="24"/>
  <c r="J37" i="24"/>
  <c r="J53" i="24"/>
  <c r="J12" i="24"/>
  <c r="J24" i="24"/>
  <c r="J40" i="24"/>
  <c r="J56" i="24"/>
  <c r="K2" i="24"/>
  <c r="N2" i="24"/>
  <c r="O2" i="24" s="1"/>
  <c r="J10" i="24"/>
  <c r="J42" i="24"/>
  <c r="J58" i="24"/>
  <c r="J15" i="24"/>
  <c r="J43" i="24"/>
  <c r="J59" i="24"/>
  <c r="J27" i="24"/>
  <c r="J5" i="24"/>
  <c r="J29" i="24"/>
  <c r="J41" i="24"/>
  <c r="J57" i="24"/>
  <c r="J4" i="24"/>
  <c r="J28" i="24"/>
  <c r="J44" i="24"/>
  <c r="J60" i="24"/>
  <c r="N6" i="24"/>
  <c r="O6" i="24" s="1"/>
  <c r="K6" i="24"/>
  <c r="J14" i="24"/>
  <c r="J46" i="24"/>
  <c r="J62" i="24"/>
  <c r="J3" i="24"/>
  <c r="J47" i="24"/>
  <c r="J63" i="24"/>
  <c r="J31" i="24"/>
  <c r="J17" i="24"/>
  <c r="J33" i="24"/>
  <c r="J45" i="24"/>
  <c r="J61" i="24"/>
  <c r="J16" i="24"/>
  <c r="J32" i="24"/>
  <c r="J48" i="24"/>
  <c r="J64" i="24"/>
  <c r="E8" i="23"/>
  <c r="F9" i="23" s="1"/>
  <c r="G8" i="23"/>
  <c r="H8" i="23" s="1"/>
  <c r="I8" i="23"/>
  <c r="E26" i="22"/>
  <c r="F26" i="22" s="1"/>
  <c r="E14" i="22"/>
  <c r="F14" i="22" s="1"/>
  <c r="E2" i="22"/>
  <c r="F2" i="22" s="1"/>
  <c r="E29" i="22"/>
  <c r="F29" i="22" s="1"/>
  <c r="E21" i="22"/>
  <c r="E13" i="22"/>
  <c r="E9" i="22"/>
  <c r="E32" i="22"/>
  <c r="F32" i="22" s="1"/>
  <c r="E28" i="22"/>
  <c r="E24" i="22"/>
  <c r="E20" i="22"/>
  <c r="E16" i="22"/>
  <c r="F16" i="22" s="1"/>
  <c r="E12" i="22"/>
  <c r="E8" i="22"/>
  <c r="E4" i="22"/>
  <c r="E30" i="22"/>
  <c r="F30" i="22" s="1"/>
  <c r="E18" i="22"/>
  <c r="F18" i="22" s="1"/>
  <c r="E6" i="22"/>
  <c r="F6" i="22" s="1"/>
  <c r="E33" i="22"/>
  <c r="E25" i="22"/>
  <c r="F25" i="22" s="1"/>
  <c r="E17" i="22"/>
  <c r="E5" i="22"/>
  <c r="E31" i="22"/>
  <c r="F31" i="22" s="1"/>
  <c r="E27" i="22"/>
  <c r="F27" i="22" s="1"/>
  <c r="E23" i="22"/>
  <c r="E19" i="22"/>
  <c r="E15" i="22"/>
  <c r="E11" i="22"/>
  <c r="F11" i="22" s="1"/>
  <c r="E7" i="22"/>
  <c r="E3" i="22"/>
  <c r="E22" i="22"/>
  <c r="F22" i="22" s="1"/>
  <c r="E10" i="22"/>
  <c r="F10" i="22" s="1"/>
  <c r="G2" i="22" s="1"/>
  <c r="G6" i="22"/>
  <c r="F33" i="22"/>
  <c r="F21" i="22"/>
  <c r="F17" i="22"/>
  <c r="F13" i="22"/>
  <c r="F9" i="22"/>
  <c r="F5" i="22"/>
  <c r="F28" i="22"/>
  <c r="F24" i="22"/>
  <c r="F20" i="22"/>
  <c r="F12" i="22"/>
  <c r="F8" i="22"/>
  <c r="F4" i="22"/>
  <c r="F23" i="22"/>
  <c r="F19" i="22"/>
  <c r="F15" i="22"/>
  <c r="F7" i="22"/>
  <c r="F3" i="22"/>
  <c r="K32" i="24" l="1"/>
  <c r="N32" i="24"/>
  <c r="O32" i="24" s="1"/>
  <c r="N33" i="24"/>
  <c r="O33" i="24" s="1"/>
  <c r="K33" i="24"/>
  <c r="K47" i="24"/>
  <c r="N47" i="24"/>
  <c r="O47" i="24" s="1"/>
  <c r="K14" i="24"/>
  <c r="N14" i="24"/>
  <c r="O14" i="24" s="1"/>
  <c r="K44" i="24"/>
  <c r="N44" i="24"/>
  <c r="O44" i="24" s="1"/>
  <c r="K41" i="24"/>
  <c r="N41" i="24"/>
  <c r="O41" i="24" s="1"/>
  <c r="K59" i="24"/>
  <c r="N59" i="24"/>
  <c r="O59" i="24" s="1"/>
  <c r="K42" i="24"/>
  <c r="N42" i="24"/>
  <c r="O42" i="24" s="1"/>
  <c r="K56" i="24"/>
  <c r="N56" i="24"/>
  <c r="O56" i="24" s="1"/>
  <c r="N53" i="24"/>
  <c r="O53" i="24" s="1"/>
  <c r="K53" i="24"/>
  <c r="K23" i="24"/>
  <c r="N23" i="24"/>
  <c r="O23" i="24" s="1"/>
  <c r="K54" i="24"/>
  <c r="N54" i="24"/>
  <c r="O54" i="24" s="1"/>
  <c r="N52" i="24"/>
  <c r="O52" i="24" s="1"/>
  <c r="K52" i="24"/>
  <c r="K49" i="24"/>
  <c r="N49" i="24"/>
  <c r="O49" i="24" s="1"/>
  <c r="K19" i="24"/>
  <c r="N19" i="24"/>
  <c r="O19" i="24" s="1"/>
  <c r="N50" i="24"/>
  <c r="O50" i="24" s="1"/>
  <c r="K50" i="24"/>
  <c r="K16" i="24"/>
  <c r="N16" i="24"/>
  <c r="O16" i="24" s="1"/>
  <c r="K17" i="24"/>
  <c r="N17" i="24"/>
  <c r="O17" i="24" s="1"/>
  <c r="K3" i="24"/>
  <c r="N3" i="24"/>
  <c r="O3" i="24" s="1"/>
  <c r="K28" i="24"/>
  <c r="N28" i="24"/>
  <c r="O28" i="24" s="1"/>
  <c r="K29" i="24"/>
  <c r="N29" i="24"/>
  <c r="O29" i="24" s="1"/>
  <c r="K43" i="24"/>
  <c r="N43" i="24"/>
  <c r="O43" i="24" s="1"/>
  <c r="K10" i="24"/>
  <c r="N10" i="24"/>
  <c r="O10" i="24" s="1"/>
  <c r="N40" i="24"/>
  <c r="O40" i="24" s="1"/>
  <c r="K40" i="24"/>
  <c r="K37" i="24"/>
  <c r="N37" i="24"/>
  <c r="O37" i="24" s="1"/>
  <c r="K55" i="24"/>
  <c r="N55" i="24"/>
  <c r="O55" i="24" s="1"/>
  <c r="N38" i="24"/>
  <c r="O38" i="24" s="1"/>
  <c r="K38" i="24"/>
  <c r="K36" i="24"/>
  <c r="N36" i="24"/>
  <c r="O36" i="24" s="1"/>
  <c r="K65" i="24"/>
  <c r="M65" i="24" s="1"/>
  <c r="N65" i="24"/>
  <c r="O65" i="24" s="1"/>
  <c r="K51" i="24"/>
  <c r="N51" i="24"/>
  <c r="O51" i="24" s="1"/>
  <c r="K34" i="24"/>
  <c r="N34" i="24"/>
  <c r="O34" i="24" s="1"/>
  <c r="L65" i="24"/>
  <c r="N64" i="24"/>
  <c r="O64" i="24" s="1"/>
  <c r="K64" i="24"/>
  <c r="N61" i="24"/>
  <c r="O61" i="24" s="1"/>
  <c r="K61" i="24"/>
  <c r="N31" i="24"/>
  <c r="O31" i="24" s="1"/>
  <c r="K31" i="24"/>
  <c r="N62" i="24"/>
  <c r="O62" i="24" s="1"/>
  <c r="K62" i="24"/>
  <c r="N4" i="24"/>
  <c r="O4" i="24" s="1"/>
  <c r="Q3" i="24" s="1" a="1"/>
  <c r="Q3" i="24" s="1"/>
  <c r="K4" i="24"/>
  <c r="N5" i="24"/>
  <c r="O5" i="24" s="1"/>
  <c r="K5" i="24"/>
  <c r="N15" i="24"/>
  <c r="O15" i="24" s="1"/>
  <c r="K15" i="24"/>
  <c r="N24" i="24"/>
  <c r="O24" i="24" s="1"/>
  <c r="K24" i="24"/>
  <c r="N25" i="24"/>
  <c r="O25" i="24" s="1"/>
  <c r="K25" i="24"/>
  <c r="K39" i="24"/>
  <c r="N39" i="24"/>
  <c r="O39" i="24" s="1"/>
  <c r="K26" i="24"/>
  <c r="N26" i="24"/>
  <c r="O26" i="24" s="1"/>
  <c r="K20" i="24"/>
  <c r="N20" i="24"/>
  <c r="O20" i="24" s="1"/>
  <c r="K21" i="24"/>
  <c r="N21" i="24"/>
  <c r="O21" i="24" s="1"/>
  <c r="K35" i="24"/>
  <c r="N35" i="24"/>
  <c r="O35" i="24" s="1"/>
  <c r="K18" i="24"/>
  <c r="N18" i="24"/>
  <c r="O18" i="24" s="1"/>
  <c r="N48" i="24"/>
  <c r="O48" i="24" s="1"/>
  <c r="K48" i="24"/>
  <c r="K45" i="24"/>
  <c r="N45" i="24"/>
  <c r="O45" i="24" s="1"/>
  <c r="K63" i="24"/>
  <c r="N63" i="24"/>
  <c r="O63" i="24" s="1"/>
  <c r="K46" i="24"/>
  <c r="N46" i="24"/>
  <c r="O46" i="24" s="1"/>
  <c r="K60" i="24"/>
  <c r="N60" i="24"/>
  <c r="O60" i="24" s="1"/>
  <c r="N57" i="24"/>
  <c r="O57" i="24" s="1"/>
  <c r="K57" i="24"/>
  <c r="K27" i="24"/>
  <c r="N27" i="24"/>
  <c r="O27" i="24" s="1"/>
  <c r="N58" i="24"/>
  <c r="O58" i="24" s="1"/>
  <c r="K58" i="24"/>
  <c r="L3" i="24"/>
  <c r="N12" i="24"/>
  <c r="O12" i="24" s="1"/>
  <c r="K12" i="24"/>
  <c r="K13" i="24"/>
  <c r="N13" i="24"/>
  <c r="O13" i="24" s="1"/>
  <c r="N11" i="24"/>
  <c r="O11" i="24" s="1"/>
  <c r="K11" i="24"/>
  <c r="K30" i="24"/>
  <c r="N30" i="24"/>
  <c r="O30" i="24" s="1"/>
  <c r="K8" i="24"/>
  <c r="N8" i="24"/>
  <c r="O8" i="24" s="1"/>
  <c r="K9" i="24"/>
  <c r="N9" i="24"/>
  <c r="O9" i="24" s="1"/>
  <c r="N7" i="24"/>
  <c r="O7" i="24" s="1"/>
  <c r="Q6" i="24" s="1"/>
  <c r="K7" i="24"/>
  <c r="L7" i="24" s="1"/>
  <c r="K22" i="24"/>
  <c r="N22" i="24"/>
  <c r="O22" i="24" s="1"/>
  <c r="I9" i="23"/>
  <c r="G9" i="23"/>
  <c r="H9" i="23" s="1"/>
  <c r="D9" i="23"/>
  <c r="G10" i="22"/>
  <c r="G26" i="22"/>
  <c r="G14" i="22"/>
  <c r="G30" i="22"/>
  <c r="G22" i="22"/>
  <c r="G18" i="22"/>
  <c r="G7" i="22"/>
  <c r="G31" i="22"/>
  <c r="G27" i="22"/>
  <c r="G23" i="22"/>
  <c r="G19" i="22"/>
  <c r="G15" i="22"/>
  <c r="G11" i="22"/>
  <c r="G3" i="22"/>
  <c r="G9" i="22"/>
  <c r="G33" i="22"/>
  <c r="G29" i="22"/>
  <c r="G25" i="22"/>
  <c r="G21" i="22"/>
  <c r="G17" i="22"/>
  <c r="G13" i="22"/>
  <c r="G5" i="22"/>
  <c r="G8" i="22"/>
  <c r="H8" i="22" s="1"/>
  <c r="G32" i="22"/>
  <c r="G28" i="22"/>
  <c r="G24" i="22"/>
  <c r="G20" i="22"/>
  <c r="H20" i="22" s="1"/>
  <c r="G16" i="22"/>
  <c r="G12" i="22"/>
  <c r="G4" i="22"/>
  <c r="H10" i="22"/>
  <c r="H30" i="22"/>
  <c r="L30" i="22" s="1"/>
  <c r="M30" i="22" s="1"/>
  <c r="L28" i="24" l="1"/>
  <c r="L61" i="24"/>
  <c r="L64" i="24"/>
  <c r="L36" i="24"/>
  <c r="L21" i="24"/>
  <c r="L40" i="24"/>
  <c r="M39" i="24"/>
  <c r="Q4" i="24" a="1"/>
  <c r="Q4" i="24" s="1"/>
  <c r="L39" i="24"/>
  <c r="L51" i="24"/>
  <c r="L54" i="24"/>
  <c r="L34" i="24"/>
  <c r="L23" i="24"/>
  <c r="L10" i="24"/>
  <c r="L31" i="24"/>
  <c r="L14" i="24"/>
  <c r="L59" i="24"/>
  <c r="L58" i="24"/>
  <c r="M58" i="24" s="1"/>
  <c r="L26" i="24"/>
  <c r="Q5" i="24" a="1"/>
  <c r="Q5" i="24" s="1"/>
  <c r="L16" i="24"/>
  <c r="L5" i="24"/>
  <c r="M4" i="24"/>
  <c r="M31" i="24"/>
  <c r="L32" i="24"/>
  <c r="M64" i="24"/>
  <c r="M34" i="24"/>
  <c r="L35" i="24"/>
  <c r="M35" i="24" s="1"/>
  <c r="L38" i="24"/>
  <c r="M38" i="24" s="1"/>
  <c r="M10" i="24"/>
  <c r="L11" i="24"/>
  <c r="M11" i="24" s="1"/>
  <c r="L30" i="24"/>
  <c r="M30" i="24" s="1"/>
  <c r="L18" i="24"/>
  <c r="M18" i="24" s="1"/>
  <c r="L50" i="24"/>
  <c r="M50" i="24" s="1"/>
  <c r="M54" i="24"/>
  <c r="L55" i="24"/>
  <c r="L43" i="24"/>
  <c r="L42" i="24"/>
  <c r="M42" i="24" s="1"/>
  <c r="M14" i="24"/>
  <c r="L15" i="24"/>
  <c r="M15" i="24" s="1"/>
  <c r="M7" i="24"/>
  <c r="L8" i="24"/>
  <c r="L12" i="24"/>
  <c r="L13" i="24"/>
  <c r="M13" i="24" s="1"/>
  <c r="M12" i="24"/>
  <c r="L47" i="24"/>
  <c r="M45" i="24"/>
  <c r="L46" i="24"/>
  <c r="M46" i="24" s="1"/>
  <c r="L19" i="24"/>
  <c r="L22" i="24"/>
  <c r="M22" i="24" s="1"/>
  <c r="M21" i="24"/>
  <c r="L27" i="24"/>
  <c r="M27" i="24" s="1"/>
  <c r="M26" i="24"/>
  <c r="L41" i="24"/>
  <c r="M41" i="24" s="1"/>
  <c r="M40" i="24"/>
  <c r="L53" i="24"/>
  <c r="M53" i="24" s="1"/>
  <c r="L9" i="24"/>
  <c r="M9" i="24" s="1"/>
  <c r="M8" i="24"/>
  <c r="L49" i="24"/>
  <c r="M49" i="24" s="1"/>
  <c r="M24" i="24"/>
  <c r="L25" i="24"/>
  <c r="M25" i="24" s="1"/>
  <c r="L6" i="24"/>
  <c r="M6" i="24" s="1"/>
  <c r="M5" i="24"/>
  <c r="M62" i="24"/>
  <c r="L63" i="24"/>
  <c r="M63" i="24" s="1"/>
  <c r="M61" i="24"/>
  <c r="L62" i="24"/>
  <c r="L52" i="24"/>
  <c r="M52" i="24" s="1"/>
  <c r="M51" i="24"/>
  <c r="L37" i="24"/>
  <c r="M37" i="24" s="1"/>
  <c r="M36" i="24"/>
  <c r="L56" i="24"/>
  <c r="M56" i="24" s="1"/>
  <c r="M55" i="24"/>
  <c r="L44" i="24"/>
  <c r="M43" i="24"/>
  <c r="M28" i="24"/>
  <c r="L29" i="24"/>
  <c r="M29" i="24" s="1"/>
  <c r="L4" i="24"/>
  <c r="M3" i="24"/>
  <c r="M16" i="24"/>
  <c r="L17" i="24"/>
  <c r="M17" i="24" s="1"/>
  <c r="M19" i="24"/>
  <c r="L20" i="24"/>
  <c r="M20" i="24" s="1"/>
  <c r="M23" i="24"/>
  <c r="L24" i="24"/>
  <c r="L57" i="24"/>
  <c r="M57" i="24" s="1"/>
  <c r="L60" i="24"/>
  <c r="M60" i="24" s="1"/>
  <c r="M59" i="24"/>
  <c r="L45" i="24"/>
  <c r="M44" i="24"/>
  <c r="L48" i="24"/>
  <c r="M48" i="24" s="1"/>
  <c r="M47" i="24"/>
  <c r="L33" i="24"/>
  <c r="M33" i="24" s="1"/>
  <c r="M32" i="24"/>
  <c r="E9" i="23"/>
  <c r="D10" i="23" s="1"/>
  <c r="H5" i="22"/>
  <c r="H22" i="22"/>
  <c r="I22" i="22"/>
  <c r="L22" i="22"/>
  <c r="M22" i="22" s="1"/>
  <c r="L20" i="22"/>
  <c r="M20" i="22" s="1"/>
  <c r="I20" i="22"/>
  <c r="H25" i="22"/>
  <c r="H23" i="22"/>
  <c r="H14" i="22"/>
  <c r="H4" i="22"/>
  <c r="H24" i="22"/>
  <c r="H18" i="22"/>
  <c r="H13" i="22"/>
  <c r="H29" i="22"/>
  <c r="H11" i="22"/>
  <c r="H27" i="22"/>
  <c r="L8" i="22"/>
  <c r="M8" i="22" s="1"/>
  <c r="I8" i="22"/>
  <c r="H12" i="22"/>
  <c r="H28" i="22"/>
  <c r="H17" i="22"/>
  <c r="H33" i="22"/>
  <c r="L33" i="22" s="1"/>
  <c r="M33" i="22" s="1"/>
  <c r="H15" i="22"/>
  <c r="H31" i="22"/>
  <c r="L31" i="22" s="1"/>
  <c r="M31" i="22" s="1"/>
  <c r="I10" i="22"/>
  <c r="L10" i="22"/>
  <c r="M10" i="22" s="1"/>
  <c r="I5" i="22"/>
  <c r="L5" i="22"/>
  <c r="M5" i="22" s="1"/>
  <c r="H3" i="22"/>
  <c r="H2" i="22"/>
  <c r="H26" i="22"/>
  <c r="H16" i="22"/>
  <c r="H32" i="22"/>
  <c r="L32" i="22" s="1"/>
  <c r="M32" i="22" s="1"/>
  <c r="H6" i="22"/>
  <c r="H21" i="22"/>
  <c r="H9" i="22"/>
  <c r="H19" i="22"/>
  <c r="H7" i="22"/>
  <c r="E10" i="23" l="1"/>
  <c r="F11" i="23" s="1"/>
  <c r="F10" i="23"/>
  <c r="I6" i="22"/>
  <c r="L6" i="22"/>
  <c r="M6" i="22" s="1"/>
  <c r="L29" i="22"/>
  <c r="M29" i="22" s="1"/>
  <c r="I29" i="22"/>
  <c r="L3" i="22"/>
  <c r="M3" i="22" s="1"/>
  <c r="I3" i="22"/>
  <c r="L17" i="22"/>
  <c r="M17" i="22" s="1"/>
  <c r="I17" i="22"/>
  <c r="L13" i="22"/>
  <c r="M13" i="22" s="1"/>
  <c r="I13" i="22"/>
  <c r="L14" i="22"/>
  <c r="M14" i="22" s="1"/>
  <c r="I14" i="22"/>
  <c r="I4" i="22"/>
  <c r="L4" i="22"/>
  <c r="M4" i="22" s="1"/>
  <c r="L19" i="22"/>
  <c r="M19" i="22" s="1"/>
  <c r="I19" i="22"/>
  <c r="L9" i="22"/>
  <c r="M9" i="22" s="1"/>
  <c r="I9" i="22"/>
  <c r="J9" i="22" s="1"/>
  <c r="I16" i="22"/>
  <c r="L16" i="22"/>
  <c r="M16" i="22" s="1"/>
  <c r="L28" i="22"/>
  <c r="M28" i="22" s="1"/>
  <c r="I28" i="22"/>
  <c r="I27" i="22"/>
  <c r="L27" i="22"/>
  <c r="M27" i="22" s="1"/>
  <c r="L18" i="22"/>
  <c r="M18" i="22" s="1"/>
  <c r="I18" i="22"/>
  <c r="L23" i="22"/>
  <c r="M23" i="22" s="1"/>
  <c r="I23" i="22"/>
  <c r="L7" i="22"/>
  <c r="M7" i="22" s="1"/>
  <c r="I7" i="22"/>
  <c r="L2" i="22"/>
  <c r="M2" i="22" s="1"/>
  <c r="M34" i="22" s="1"/>
  <c r="I2" i="22"/>
  <c r="J3" i="22" s="1"/>
  <c r="L21" i="22"/>
  <c r="M21" i="22" s="1"/>
  <c r="I21" i="22"/>
  <c r="L26" i="22"/>
  <c r="M26" i="22" s="1"/>
  <c r="I26" i="22"/>
  <c r="J6" i="22"/>
  <c r="I15" i="22"/>
  <c r="L15" i="22"/>
  <c r="M15" i="22" s="1"/>
  <c r="L12" i="22"/>
  <c r="M12" i="22" s="1"/>
  <c r="I12" i="22"/>
  <c r="I11" i="22"/>
  <c r="L11" i="22"/>
  <c r="M11" i="22" s="1"/>
  <c r="L24" i="22"/>
  <c r="M24" i="22" s="1"/>
  <c r="I24" i="22"/>
  <c r="L25" i="22"/>
  <c r="M25" i="22" s="1"/>
  <c r="I25" i="22"/>
  <c r="I11" i="23" l="1"/>
  <c r="G11" i="23"/>
  <c r="H11" i="23" s="1"/>
  <c r="G10" i="23"/>
  <c r="H10" i="23" s="1"/>
  <c r="I10" i="23"/>
  <c r="D11" i="23"/>
  <c r="J11" i="22"/>
  <c r="J13" i="22"/>
  <c r="K13" i="22" s="1"/>
  <c r="J22" i="22"/>
  <c r="K22" i="22" s="1"/>
  <c r="J24" i="22"/>
  <c r="K24" i="22" s="1"/>
  <c r="J14" i="22"/>
  <c r="K14" i="22" s="1"/>
  <c r="J28" i="22"/>
  <c r="J17" i="22"/>
  <c r="J25" i="22"/>
  <c r="J20" i="22"/>
  <c r="K20" i="22" s="1"/>
  <c r="J23" i="22"/>
  <c r="K23" i="22" s="1"/>
  <c r="K25" i="22"/>
  <c r="J26" i="22"/>
  <c r="K26" i="22" s="1"/>
  <c r="J27" i="22"/>
  <c r="K27" i="22" s="1"/>
  <c r="J8" i="22"/>
  <c r="K8" i="22" s="1"/>
  <c r="J19" i="22"/>
  <c r="K19" i="22" s="1"/>
  <c r="K28" i="22"/>
  <c r="K9" i="22"/>
  <c r="J10" i="22"/>
  <c r="K10" i="22" s="1"/>
  <c r="J15" i="22"/>
  <c r="K17" i="22"/>
  <c r="J18" i="22"/>
  <c r="K18" i="22" s="1"/>
  <c r="J4" i="22"/>
  <c r="K3" i="22"/>
  <c r="J12" i="22"/>
  <c r="K12" i="22" s="1"/>
  <c r="K11" i="22"/>
  <c r="J16" i="22"/>
  <c r="K16" i="22" s="1"/>
  <c r="K15" i="22"/>
  <c r="J21" i="22"/>
  <c r="K21" i="22" s="1"/>
  <c r="J5" i="22"/>
  <c r="K5" i="22" s="1"/>
  <c r="K4" i="22"/>
  <c r="J7" i="22"/>
  <c r="K7" i="22" s="1"/>
  <c r="K6" i="22"/>
  <c r="E11" i="23" l="1"/>
  <c r="D12" i="23" s="1"/>
  <c r="F12" i="23"/>
  <c r="E12" i="23" l="1"/>
  <c r="F13" i="23" s="1"/>
  <c r="G12" i="23"/>
  <c r="H12" i="23" s="1"/>
  <c r="I12" i="23"/>
  <c r="I13" i="23" l="1"/>
  <c r="G13" i="23"/>
  <c r="H13" i="23" s="1"/>
  <c r="D13" i="23"/>
  <c r="E13" i="23" l="1"/>
  <c r="D14" i="23" s="1"/>
  <c r="F14" i="23"/>
  <c r="E14" i="23" l="1"/>
  <c r="F15" i="23" s="1"/>
  <c r="D15" i="23"/>
  <c r="G14" i="23"/>
  <c r="H14" i="23" s="1"/>
  <c r="I14" i="23"/>
  <c r="I15" i="23" l="1"/>
  <c r="G15" i="23"/>
  <c r="H15" i="23" s="1"/>
  <c r="E15" i="23"/>
  <c r="F16" i="23" s="1"/>
  <c r="G16" i="23" l="1"/>
  <c r="H16" i="23" s="1"/>
  <c r="I16" i="23"/>
  <c r="D16" i="23"/>
  <c r="E16" i="23" l="1"/>
  <c r="F17" i="23" s="1"/>
  <c r="D17" i="23"/>
  <c r="I17" i="23" l="1"/>
  <c r="G17" i="23"/>
  <c r="H17" i="23" s="1"/>
  <c r="E17" i="23"/>
  <c r="F18" i="23" s="1"/>
  <c r="I18" i="23" l="1"/>
  <c r="G18" i="23"/>
  <c r="H18" i="23" s="1"/>
  <c r="D18" i="23"/>
  <c r="E18" i="23" l="1"/>
  <c r="F19" i="23"/>
  <c r="D19" i="23"/>
  <c r="G19" i="23" l="1"/>
  <c r="H19" i="23" s="1"/>
  <c r="I19" i="23"/>
  <c r="E19" i="23"/>
  <c r="F20" i="23" s="1"/>
  <c r="I20" i="23" l="1"/>
  <c r="G20" i="23"/>
  <c r="H20" i="23" s="1"/>
  <c r="D20" i="23"/>
  <c r="E20" i="23" l="1"/>
  <c r="F21" i="23" s="1"/>
  <c r="D21" i="23"/>
  <c r="G21" i="23" l="1"/>
  <c r="H21" i="23" s="1"/>
  <c r="I21" i="23"/>
  <c r="E21" i="23"/>
  <c r="F22" i="23" s="1"/>
  <c r="I22" i="23" l="1"/>
  <c r="G22" i="23"/>
  <c r="H22" i="23" s="1"/>
  <c r="D22" i="23"/>
  <c r="E22" i="23" l="1"/>
  <c r="F23" i="23"/>
  <c r="D23" i="23"/>
  <c r="E23" i="23" l="1"/>
  <c r="D24" i="23" s="1"/>
  <c r="G23" i="23"/>
  <c r="H23" i="23" s="1"/>
  <c r="I23" i="23"/>
  <c r="L3" i="19"/>
  <c r="O12" i="19"/>
  <c r="K4" i="19"/>
  <c r="K3" i="19"/>
  <c r="J4" i="19"/>
  <c r="O11" i="19"/>
  <c r="C3" i="19"/>
  <c r="N8" i="19" a="1"/>
  <c r="N8" i="19" s="1"/>
  <c r="O33" i="18"/>
  <c r="O31" i="18"/>
  <c r="G18" i="18"/>
  <c r="E92" i="18"/>
  <c r="E23" i="18"/>
  <c r="B11" i="18"/>
  <c r="N18" i="21"/>
  <c r="N19" i="21"/>
  <c r="N20" i="21"/>
  <c r="N21" i="21"/>
  <c r="N22" i="21"/>
  <c r="N23" i="21"/>
  <c r="N24" i="21"/>
  <c r="N25" i="21"/>
  <c r="N26" i="21"/>
  <c r="N27" i="21"/>
  <c r="K14" i="21"/>
  <c r="K2" i="21"/>
  <c r="K3" i="21"/>
  <c r="K4" i="21"/>
  <c r="K5" i="21"/>
  <c r="K6" i="21"/>
  <c r="K7" i="21"/>
  <c r="K8" i="21"/>
  <c r="K9" i="21"/>
  <c r="K10" i="21"/>
  <c r="K11" i="21"/>
  <c r="K12" i="21"/>
  <c r="K13" i="21"/>
  <c r="P4" i="21"/>
  <c r="P5" i="21" s="1"/>
  <c r="P6" i="21" s="1"/>
  <c r="G2" i="21"/>
  <c r="G3" i="21"/>
  <c r="G6" i="21"/>
  <c r="G7" i="21"/>
  <c r="G10" i="21"/>
  <c r="G11" i="21"/>
  <c r="H4" i="21"/>
  <c r="H5" i="21"/>
  <c r="H8" i="21"/>
  <c r="H9" i="21"/>
  <c r="H12" i="21"/>
  <c r="H13" i="21"/>
  <c r="C14" i="21"/>
  <c r="G4" i="21" s="1"/>
  <c r="E5" i="21"/>
  <c r="I5" i="21" s="1"/>
  <c r="E9" i="21"/>
  <c r="I9" i="21" s="1"/>
  <c r="E10" i="21"/>
  <c r="I10" i="21" s="1"/>
  <c r="E13" i="21"/>
  <c r="I13" i="21" s="1"/>
  <c r="D3" i="21"/>
  <c r="H3" i="21" s="1"/>
  <c r="D4" i="21"/>
  <c r="D5" i="21"/>
  <c r="E6" i="21" s="1"/>
  <c r="D6" i="21"/>
  <c r="H6" i="21" s="1"/>
  <c r="D7" i="21"/>
  <c r="H7" i="21" s="1"/>
  <c r="D8" i="21"/>
  <c r="D9" i="21"/>
  <c r="D10" i="21"/>
  <c r="H10" i="21" s="1"/>
  <c r="D11" i="21"/>
  <c r="H11" i="21" s="1"/>
  <c r="D12" i="21"/>
  <c r="D13" i="21"/>
  <c r="B15" i="21"/>
  <c r="L2" i="20"/>
  <c r="G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2" i="20"/>
  <c r="L4" i="20" a="1"/>
  <c r="L4" i="20" s="1"/>
  <c r="C32" i="20"/>
  <c r="D32" i="20"/>
  <c r="E32" i="20"/>
  <c r="F32" i="20"/>
  <c r="B32" i="20"/>
  <c r="E60" i="6" a="1"/>
  <c r="E60" i="6" s="1"/>
  <c r="L2" i="19"/>
  <c r="L4" i="19"/>
  <c r="J3" i="19"/>
  <c r="J2" i="19"/>
  <c r="O2"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I9" i="19"/>
  <c r="H8"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7"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5"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5" i="19"/>
  <c r="D6" i="19"/>
  <c r="D7" i="19"/>
  <c r="D8" i="19"/>
  <c r="D9" i="19"/>
  <c r="D10" i="19"/>
  <c r="D11" i="19"/>
  <c r="D12" i="19"/>
  <c r="D13" i="19"/>
  <c r="D14" i="19"/>
  <c r="D4"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4" i="19"/>
  <c r="C5" i="19"/>
  <c r="C6" i="19"/>
  <c r="E24" i="23" l="1"/>
  <c r="F25" i="23" s="1"/>
  <c r="D25" i="23"/>
  <c r="F24" i="23"/>
  <c r="J6" i="19"/>
  <c r="J10" i="19"/>
  <c r="J14" i="19"/>
  <c r="J18" i="19"/>
  <c r="J22" i="19"/>
  <c r="J26" i="19"/>
  <c r="J30" i="19"/>
  <c r="J34" i="19"/>
  <c r="J38" i="19"/>
  <c r="J42" i="19"/>
  <c r="J46" i="19"/>
  <c r="J50" i="19"/>
  <c r="J54" i="19"/>
  <c r="J58" i="19"/>
  <c r="J62" i="19"/>
  <c r="J66" i="19"/>
  <c r="J7" i="19"/>
  <c r="J11" i="19"/>
  <c r="J15" i="19"/>
  <c r="J19" i="19"/>
  <c r="J23" i="19"/>
  <c r="J27" i="19"/>
  <c r="J31" i="19"/>
  <c r="J35" i="19"/>
  <c r="J39" i="19"/>
  <c r="J43" i="19"/>
  <c r="J47" i="19"/>
  <c r="J51" i="19"/>
  <c r="J55" i="19"/>
  <c r="J59" i="19"/>
  <c r="J63" i="19"/>
  <c r="J60" i="19"/>
  <c r="J5" i="19"/>
  <c r="J13" i="19"/>
  <c r="J25" i="19"/>
  <c r="J33" i="19"/>
  <c r="J45" i="19"/>
  <c r="J57" i="19"/>
  <c r="J65" i="19"/>
  <c r="J8" i="19"/>
  <c r="J12" i="19"/>
  <c r="J16" i="19"/>
  <c r="J20" i="19"/>
  <c r="J24" i="19"/>
  <c r="J28" i="19"/>
  <c r="J32" i="19"/>
  <c r="J36" i="19"/>
  <c r="J40" i="19"/>
  <c r="J44" i="19"/>
  <c r="J48" i="19"/>
  <c r="J52" i="19"/>
  <c r="J56" i="19"/>
  <c r="J64" i="19"/>
  <c r="J9" i="19"/>
  <c r="J17" i="19"/>
  <c r="J21" i="19"/>
  <c r="J29" i="19"/>
  <c r="J37" i="19"/>
  <c r="J41" i="19"/>
  <c r="J49" i="19"/>
  <c r="J53" i="19"/>
  <c r="J61" i="19"/>
  <c r="I6" i="21"/>
  <c r="F7" i="21"/>
  <c r="J7" i="21" s="1"/>
  <c r="F11" i="21"/>
  <c r="J11" i="21" s="1"/>
  <c r="E12" i="21"/>
  <c r="E8" i="21"/>
  <c r="E4" i="21"/>
  <c r="F10" i="21"/>
  <c r="J10" i="21" s="1"/>
  <c r="F6" i="21"/>
  <c r="J6" i="21" s="1"/>
  <c r="E18" i="21"/>
  <c r="E11" i="21"/>
  <c r="E7" i="21"/>
  <c r="G13" i="21"/>
  <c r="G9" i="21"/>
  <c r="G5" i="21"/>
  <c r="C18" i="21" s="1"/>
  <c r="G12" i="21"/>
  <c r="G8" i="21"/>
  <c r="H29" i="20"/>
  <c r="I29" i="20" s="1"/>
  <c r="H21" i="20"/>
  <c r="I21" i="20" s="1"/>
  <c r="H17" i="20"/>
  <c r="I17" i="20" s="1"/>
  <c r="H5" i="20"/>
  <c r="I5" i="20" s="1"/>
  <c r="H28" i="20"/>
  <c r="I28" i="20" s="1"/>
  <c r="H16" i="20"/>
  <c r="I16" i="20" s="1"/>
  <c r="H12" i="20"/>
  <c r="I12" i="20" s="1"/>
  <c r="H31" i="20"/>
  <c r="I31" i="20" s="1"/>
  <c r="H27" i="20"/>
  <c r="I27" i="20" s="1"/>
  <c r="H19" i="20"/>
  <c r="I19" i="20" s="1"/>
  <c r="H15" i="20"/>
  <c r="I15" i="20" s="1"/>
  <c r="H11" i="20"/>
  <c r="I11" i="20" s="1"/>
  <c r="H3" i="20"/>
  <c r="I3" i="20" s="1"/>
  <c r="H30" i="20"/>
  <c r="I30" i="20" s="1"/>
  <c r="H26" i="20"/>
  <c r="I26" i="20" s="1"/>
  <c r="H18" i="20"/>
  <c r="I18" i="20" s="1"/>
  <c r="H14" i="20"/>
  <c r="I14" i="20" s="1"/>
  <c r="H10" i="20"/>
  <c r="I10" i="20" s="1"/>
  <c r="H2" i="20"/>
  <c r="I2" i="20" s="1"/>
  <c r="B9" i="18"/>
  <c r="C9" i="18"/>
  <c r="C10" i="18"/>
  <c r="B10" i="18"/>
  <c r="D10" i="18"/>
  <c r="E10" i="18"/>
  <c r="F10" i="18"/>
  <c r="G10" i="18"/>
  <c r="H10" i="18"/>
  <c r="G25" i="23" l="1"/>
  <c r="H25" i="23" s="1"/>
  <c r="I25" i="23"/>
  <c r="E25" i="23"/>
  <c r="F26" i="23" s="1"/>
  <c r="I24" i="23"/>
  <c r="G24" i="23"/>
  <c r="H24" i="23" s="1"/>
  <c r="K5" i="19"/>
  <c r="L5" i="19"/>
  <c r="G18" i="21"/>
  <c r="D23" i="21" s="1" a="1"/>
  <c r="D23" i="21" s="1"/>
  <c r="K23" i="21" s="1"/>
  <c r="F18" i="21"/>
  <c r="M2" i="21" a="1"/>
  <c r="M2" i="21" s="1"/>
  <c r="F9" i="21"/>
  <c r="J9" i="21" s="1"/>
  <c r="I8" i="21"/>
  <c r="F5" i="21"/>
  <c r="J5" i="21" s="1"/>
  <c r="I4" i="21"/>
  <c r="D20" i="21" a="1"/>
  <c r="D20" i="21" s="1"/>
  <c r="K20" i="21" s="1"/>
  <c r="G14" i="21"/>
  <c r="D21" i="21" s="1" a="1"/>
  <c r="D21" i="21" s="1"/>
  <c r="K21" i="21" s="1"/>
  <c r="F8" i="21"/>
  <c r="J8" i="21" s="1"/>
  <c r="I7" i="21"/>
  <c r="F13" i="21"/>
  <c r="J13" i="21" s="1"/>
  <c r="I12" i="21"/>
  <c r="L2" i="21" a="1"/>
  <c r="L2" i="21" s="1"/>
  <c r="F12" i="21"/>
  <c r="J12" i="21" s="1"/>
  <c r="I11" i="21"/>
  <c r="D18" i="21" a="1"/>
  <c r="D18" i="21" s="1"/>
  <c r="H4" i="20"/>
  <c r="I4" i="20" s="1"/>
  <c r="H20" i="20"/>
  <c r="I20" i="20" s="1"/>
  <c r="H9" i="20"/>
  <c r="I9" i="20" s="1"/>
  <c r="H25" i="20"/>
  <c r="I25" i="20" s="1"/>
  <c r="H6" i="20"/>
  <c r="I6" i="20" s="1"/>
  <c r="H22" i="20"/>
  <c r="I22" i="20" s="1"/>
  <c r="H7" i="20"/>
  <c r="I7" i="20" s="1"/>
  <c r="H23" i="20"/>
  <c r="I23" i="20" s="1"/>
  <c r="H8" i="20"/>
  <c r="I8" i="20" s="1"/>
  <c r="H24" i="20"/>
  <c r="I24" i="20" s="1"/>
  <c r="H13" i="20"/>
  <c r="I13" i="20" s="1"/>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F77" i="18" s="1"/>
  <c r="G77" i="18" s="1"/>
  <c r="I77" i="18" s="1"/>
  <c r="J77" i="18" s="1"/>
  <c r="E77" i="18"/>
  <c r="E78" i="18"/>
  <c r="E79" i="18"/>
  <c r="E80" i="18"/>
  <c r="F81" i="18" s="1"/>
  <c r="G81" i="18" s="1"/>
  <c r="I81" i="18" s="1"/>
  <c r="J81" i="18" s="1"/>
  <c r="E81" i="18"/>
  <c r="E82" i="18"/>
  <c r="E83" i="18"/>
  <c r="E84" i="18"/>
  <c r="F85" i="18" s="1"/>
  <c r="G85" i="18" s="1"/>
  <c r="I85" i="18" s="1"/>
  <c r="J85" i="18" s="1"/>
  <c r="E85" i="18"/>
  <c r="E86" i="18"/>
  <c r="E87" i="18"/>
  <c r="E88" i="18"/>
  <c r="F89" i="18" s="1"/>
  <c r="G89" i="18" s="1"/>
  <c r="I89" i="18" s="1"/>
  <c r="J89" i="18" s="1"/>
  <c r="E89" i="18"/>
  <c r="E90" i="18"/>
  <c r="E91" i="18"/>
  <c r="F24" i="18"/>
  <c r="G24" i="18" s="1"/>
  <c r="I10" i="18"/>
  <c r="J10" i="18"/>
  <c r="K10" i="18"/>
  <c r="L10" i="18"/>
  <c r="M10" i="18"/>
  <c r="D9" i="18"/>
  <c r="E9" i="18"/>
  <c r="F9" i="18"/>
  <c r="G9" i="18"/>
  <c r="H9" i="18"/>
  <c r="I9" i="18"/>
  <c r="J9" i="18"/>
  <c r="K9" i="18"/>
  <c r="L9" i="18"/>
  <c r="M9" i="18"/>
  <c r="I26" i="23" l="1"/>
  <c r="G26" i="23"/>
  <c r="H26" i="23" s="1"/>
  <c r="D26" i="23"/>
  <c r="K6" i="19"/>
  <c r="L6" i="19"/>
  <c r="E19" i="21" a="1"/>
  <c r="E19" i="21" s="1"/>
  <c r="K18" i="21"/>
  <c r="I18" i="21"/>
  <c r="J18" i="21" s="1"/>
  <c r="D19" i="21" a="1"/>
  <c r="D19" i="21" s="1"/>
  <c r="E22" i="21" s="1" a="1"/>
  <c r="E22" i="21" s="1"/>
  <c r="H18" i="21"/>
  <c r="C19" i="21"/>
  <c r="D22" i="21" a="1"/>
  <c r="D22" i="21" s="1"/>
  <c r="K22" i="21" s="1"/>
  <c r="C20" i="21"/>
  <c r="I32" i="20"/>
  <c r="I34" i="20" s="1"/>
  <c r="H32" i="20"/>
  <c r="G32" i="20"/>
  <c r="F73" i="18"/>
  <c r="G73" i="18" s="1"/>
  <c r="I73" i="18" s="1"/>
  <c r="J73" i="18" s="1"/>
  <c r="L73" i="18" s="1"/>
  <c r="F69" i="18"/>
  <c r="G69" i="18" s="1"/>
  <c r="I69" i="18" s="1"/>
  <c r="J69" i="18" s="1"/>
  <c r="F65" i="18"/>
  <c r="G65" i="18" s="1"/>
  <c r="I65" i="18" s="1"/>
  <c r="J65" i="18" s="1"/>
  <c r="F61" i="18"/>
  <c r="G61" i="18" s="1"/>
  <c r="I61" i="18" s="1"/>
  <c r="J61" i="18" s="1"/>
  <c r="L61" i="18" s="1"/>
  <c r="F57" i="18"/>
  <c r="G57" i="18" s="1"/>
  <c r="I57" i="18" s="1"/>
  <c r="J57" i="18" s="1"/>
  <c r="L57" i="18" s="1"/>
  <c r="F53" i="18"/>
  <c r="G53" i="18" s="1"/>
  <c r="I53" i="18" s="1"/>
  <c r="J53" i="18" s="1"/>
  <c r="F49" i="18"/>
  <c r="G49" i="18" s="1"/>
  <c r="I49" i="18" s="1"/>
  <c r="J49" i="18" s="1"/>
  <c r="F45" i="18"/>
  <c r="G45" i="18" s="1"/>
  <c r="I45" i="18" s="1"/>
  <c r="J45" i="18" s="1"/>
  <c r="L45" i="18" s="1"/>
  <c r="F41" i="18"/>
  <c r="G41" i="18" s="1"/>
  <c r="I41" i="18" s="1"/>
  <c r="J41" i="18" s="1"/>
  <c r="K41" i="18" s="1"/>
  <c r="F37" i="18"/>
  <c r="G37" i="18" s="1"/>
  <c r="I37" i="18" s="1"/>
  <c r="J37" i="18" s="1"/>
  <c r="F33" i="18"/>
  <c r="G33" i="18" s="1"/>
  <c r="I33" i="18" s="1"/>
  <c r="J33" i="18" s="1"/>
  <c r="K33" i="18" s="1"/>
  <c r="F29" i="18"/>
  <c r="G29" i="18" s="1"/>
  <c r="I29" i="18" s="1"/>
  <c r="J29" i="18" s="1"/>
  <c r="K29" i="18" s="1"/>
  <c r="F25" i="18"/>
  <c r="G25" i="18" s="1"/>
  <c r="I25" i="18" s="1"/>
  <c r="J25" i="18" s="1"/>
  <c r="K25" i="18" s="1"/>
  <c r="F91" i="18"/>
  <c r="G91" i="18" s="1"/>
  <c r="I91" i="18" s="1"/>
  <c r="J91" i="18" s="1"/>
  <c r="L91" i="18" s="1"/>
  <c r="F87" i="18"/>
  <c r="G87" i="18" s="1"/>
  <c r="I87" i="18" s="1"/>
  <c r="J87" i="18" s="1"/>
  <c r="K87" i="18" s="1"/>
  <c r="F83" i="18"/>
  <c r="G83" i="18" s="1"/>
  <c r="I83" i="18" s="1"/>
  <c r="J83" i="18" s="1"/>
  <c r="K83" i="18" s="1"/>
  <c r="F79" i="18"/>
  <c r="G79" i="18" s="1"/>
  <c r="I79" i="18" s="1"/>
  <c r="J79" i="18" s="1"/>
  <c r="K79" i="18" s="1"/>
  <c r="F75" i="18"/>
  <c r="G75" i="18" s="1"/>
  <c r="I75" i="18" s="1"/>
  <c r="J75" i="18" s="1"/>
  <c r="K75" i="18" s="1"/>
  <c r="F71" i="18"/>
  <c r="G71" i="18" s="1"/>
  <c r="I71" i="18" s="1"/>
  <c r="J71" i="18" s="1"/>
  <c r="L71" i="18" s="1"/>
  <c r="F67" i="18"/>
  <c r="G67" i="18" s="1"/>
  <c r="I67" i="18" s="1"/>
  <c r="J67" i="18" s="1"/>
  <c r="K67" i="18" s="1"/>
  <c r="F63" i="18"/>
  <c r="G63" i="18" s="1"/>
  <c r="I63" i="18" s="1"/>
  <c r="J63" i="18" s="1"/>
  <c r="K63" i="18" s="1"/>
  <c r="F59" i="18"/>
  <c r="G59" i="18" s="1"/>
  <c r="I59" i="18" s="1"/>
  <c r="J59" i="18" s="1"/>
  <c r="L59" i="18" s="1"/>
  <c r="F55" i="18"/>
  <c r="G55" i="18" s="1"/>
  <c r="I55" i="18" s="1"/>
  <c r="J55" i="18" s="1"/>
  <c r="L55" i="18" s="1"/>
  <c r="F51" i="18"/>
  <c r="G51" i="18" s="1"/>
  <c r="I51" i="18" s="1"/>
  <c r="J51" i="18" s="1"/>
  <c r="K51" i="18" s="1"/>
  <c r="F47" i="18"/>
  <c r="G47" i="18" s="1"/>
  <c r="I47" i="18" s="1"/>
  <c r="J47" i="18" s="1"/>
  <c r="K47" i="18" s="1"/>
  <c r="F43" i="18"/>
  <c r="G43" i="18" s="1"/>
  <c r="I43" i="18" s="1"/>
  <c r="J43" i="18" s="1"/>
  <c r="F39" i="18"/>
  <c r="G39" i="18" s="1"/>
  <c r="I39" i="18" s="1"/>
  <c r="J39" i="18" s="1"/>
  <c r="K39" i="18" s="1"/>
  <c r="F35" i="18"/>
  <c r="G35" i="18" s="1"/>
  <c r="I35" i="18" s="1"/>
  <c r="J35" i="18" s="1"/>
  <c r="K35" i="18" s="1"/>
  <c r="F31" i="18"/>
  <c r="G31" i="18" s="1"/>
  <c r="I31" i="18" s="1"/>
  <c r="J31" i="18" s="1"/>
  <c r="K31" i="18" s="1"/>
  <c r="F27" i="18"/>
  <c r="G27" i="18" s="1"/>
  <c r="I27" i="18" s="1"/>
  <c r="J27" i="18" s="1"/>
  <c r="L27" i="18" s="1"/>
  <c r="F90" i="18"/>
  <c r="G90" i="18" s="1"/>
  <c r="I90" i="18" s="1"/>
  <c r="J90" i="18" s="1"/>
  <c r="K90" i="18" s="1"/>
  <c r="F86" i="18"/>
  <c r="G86" i="18" s="1"/>
  <c r="I86" i="18" s="1"/>
  <c r="J86" i="18" s="1"/>
  <c r="L86" i="18" s="1"/>
  <c r="F82" i="18"/>
  <c r="G82" i="18" s="1"/>
  <c r="I82" i="18" s="1"/>
  <c r="J82" i="18" s="1"/>
  <c r="L82" i="18" s="1"/>
  <c r="F78" i="18"/>
  <c r="G78" i="18" s="1"/>
  <c r="I78" i="18" s="1"/>
  <c r="J78" i="18" s="1"/>
  <c r="L78" i="18" s="1"/>
  <c r="F74" i="18"/>
  <c r="G74" i="18" s="1"/>
  <c r="I74" i="18" s="1"/>
  <c r="J74" i="18" s="1"/>
  <c r="K74" i="18" s="1"/>
  <c r="F70" i="18"/>
  <c r="G70" i="18" s="1"/>
  <c r="I70" i="18" s="1"/>
  <c r="J70" i="18" s="1"/>
  <c r="L70" i="18" s="1"/>
  <c r="F66" i="18"/>
  <c r="G66" i="18" s="1"/>
  <c r="I66" i="18" s="1"/>
  <c r="J66" i="18" s="1"/>
  <c r="L66" i="18" s="1"/>
  <c r="F62" i="18"/>
  <c r="G62" i="18" s="1"/>
  <c r="I62" i="18" s="1"/>
  <c r="J62" i="18" s="1"/>
  <c r="L62" i="18" s="1"/>
  <c r="F58" i="18"/>
  <c r="G58" i="18" s="1"/>
  <c r="I58" i="18" s="1"/>
  <c r="J58" i="18" s="1"/>
  <c r="L58" i="18" s="1"/>
  <c r="F54" i="18"/>
  <c r="G54" i="18" s="1"/>
  <c r="I54" i="18" s="1"/>
  <c r="J54" i="18" s="1"/>
  <c r="L54" i="18" s="1"/>
  <c r="F50" i="18"/>
  <c r="G50" i="18" s="1"/>
  <c r="I50" i="18" s="1"/>
  <c r="J50" i="18" s="1"/>
  <c r="L50" i="18" s="1"/>
  <c r="F46" i="18"/>
  <c r="G46" i="18" s="1"/>
  <c r="I46" i="18" s="1"/>
  <c r="J46" i="18" s="1"/>
  <c r="L46" i="18" s="1"/>
  <c r="F42" i="18"/>
  <c r="G42" i="18" s="1"/>
  <c r="I42" i="18" s="1"/>
  <c r="J42" i="18" s="1"/>
  <c r="K42" i="18" s="1"/>
  <c r="F38" i="18"/>
  <c r="G38" i="18" s="1"/>
  <c r="I38" i="18" s="1"/>
  <c r="J38" i="18" s="1"/>
  <c r="K38" i="18" s="1"/>
  <c r="F34" i="18"/>
  <c r="G34" i="18" s="1"/>
  <c r="I34" i="18" s="1"/>
  <c r="J34" i="18" s="1"/>
  <c r="L34" i="18" s="1"/>
  <c r="F30" i="18"/>
  <c r="G30" i="18" s="1"/>
  <c r="I30" i="18" s="1"/>
  <c r="J30" i="18" s="1"/>
  <c r="L30" i="18" s="1"/>
  <c r="F26" i="18"/>
  <c r="G26" i="18" s="1"/>
  <c r="I26" i="18" s="1"/>
  <c r="J26" i="18" s="1"/>
  <c r="K26" i="18" s="1"/>
  <c r="F92" i="18"/>
  <c r="G92" i="18" s="1"/>
  <c r="I92" i="18" s="1"/>
  <c r="J92" i="18" s="1"/>
  <c r="L92" i="18" s="1"/>
  <c r="L75" i="18"/>
  <c r="K59" i="18"/>
  <c r="K43" i="18"/>
  <c r="L43" i="18"/>
  <c r="K70" i="18"/>
  <c r="K62" i="18"/>
  <c r="K58" i="18"/>
  <c r="K54" i="18"/>
  <c r="K46" i="18"/>
  <c r="K30" i="18"/>
  <c r="K55" i="18"/>
  <c r="K27" i="18"/>
  <c r="O32" i="18"/>
  <c r="G23" i="18" s="1"/>
  <c r="I24" i="18"/>
  <c r="J24" i="18" s="1"/>
  <c r="L89" i="18"/>
  <c r="K89" i="18"/>
  <c r="L85" i="18"/>
  <c r="K85" i="18"/>
  <c r="L81" i="18"/>
  <c r="K81" i="18"/>
  <c r="L77" i="18"/>
  <c r="K77" i="18"/>
  <c r="K73" i="18"/>
  <c r="L69" i="18"/>
  <c r="K69" i="18"/>
  <c r="L65" i="18"/>
  <c r="K65" i="18"/>
  <c r="L53" i="18"/>
  <c r="K53" i="18"/>
  <c r="L49" i="18"/>
  <c r="K49" i="18"/>
  <c r="L37" i="18"/>
  <c r="K37" i="18"/>
  <c r="L33" i="18"/>
  <c r="L29" i="18"/>
  <c r="L25" i="18"/>
  <c r="K91" i="18"/>
  <c r="F88" i="18"/>
  <c r="G88" i="18" s="1"/>
  <c r="I88" i="18" s="1"/>
  <c r="J88" i="18" s="1"/>
  <c r="F76" i="18"/>
  <c r="G76" i="18" s="1"/>
  <c r="I76" i="18" s="1"/>
  <c r="J76" i="18" s="1"/>
  <c r="F60" i="18"/>
  <c r="G60" i="18" s="1"/>
  <c r="I60" i="18" s="1"/>
  <c r="J60" i="18" s="1"/>
  <c r="F44" i="18"/>
  <c r="G44" i="18" s="1"/>
  <c r="I44" i="18" s="1"/>
  <c r="J44" i="18" s="1"/>
  <c r="F32" i="18"/>
  <c r="G32" i="18" s="1"/>
  <c r="I32" i="18" s="1"/>
  <c r="J32" i="18" s="1"/>
  <c r="F84" i="18"/>
  <c r="G84" i="18" s="1"/>
  <c r="I84" i="18" s="1"/>
  <c r="J84" i="18" s="1"/>
  <c r="F72" i="18"/>
  <c r="G72" i="18" s="1"/>
  <c r="I72" i="18" s="1"/>
  <c r="J72" i="18" s="1"/>
  <c r="F64" i="18"/>
  <c r="G64" i="18" s="1"/>
  <c r="I64" i="18" s="1"/>
  <c r="J64" i="18" s="1"/>
  <c r="F48" i="18"/>
  <c r="G48" i="18" s="1"/>
  <c r="I48" i="18" s="1"/>
  <c r="J48" i="18" s="1"/>
  <c r="F36" i="18"/>
  <c r="G36" i="18" s="1"/>
  <c r="I36" i="18" s="1"/>
  <c r="J36" i="18" s="1"/>
  <c r="Q10" i="18"/>
  <c r="F80" i="18"/>
  <c r="G80" i="18" s="1"/>
  <c r="I80" i="18" s="1"/>
  <c r="J80" i="18" s="1"/>
  <c r="F68" i="18"/>
  <c r="G68" i="18" s="1"/>
  <c r="I68" i="18" s="1"/>
  <c r="J68" i="18" s="1"/>
  <c r="F56" i="18"/>
  <c r="G56" i="18" s="1"/>
  <c r="I56" i="18" s="1"/>
  <c r="J56" i="18" s="1"/>
  <c r="F52" i="18"/>
  <c r="G52" i="18" s="1"/>
  <c r="I52" i="18" s="1"/>
  <c r="J52" i="18" s="1"/>
  <c r="F40" i="18"/>
  <c r="G40" i="18" s="1"/>
  <c r="I40" i="18" s="1"/>
  <c r="J40" i="18" s="1"/>
  <c r="F28" i="18"/>
  <c r="G28" i="18" s="1"/>
  <c r="I28" i="18" s="1"/>
  <c r="J28" i="18" s="1"/>
  <c r="E26" i="23" l="1"/>
  <c r="F27" i="23" s="1"/>
  <c r="D27" i="23"/>
  <c r="K7" i="19"/>
  <c r="L7" i="19"/>
  <c r="I22" i="21"/>
  <c r="J22" i="21" s="1"/>
  <c r="F22" i="21"/>
  <c r="G22" i="21"/>
  <c r="E24" i="21" a="1"/>
  <c r="E24" i="21" s="1"/>
  <c r="L18" i="21"/>
  <c r="M18" i="21" s="1"/>
  <c r="E23" i="21" a="1"/>
  <c r="E23" i="21" s="1"/>
  <c r="E20" i="21" a="1"/>
  <c r="E20" i="21" s="1"/>
  <c r="K19" i="21"/>
  <c r="L21" i="21" s="1"/>
  <c r="M21" i="21" s="1"/>
  <c r="I19" i="21"/>
  <c r="J19" i="21" s="1"/>
  <c r="E21" i="21" a="1"/>
  <c r="E21" i="21" s="1"/>
  <c r="F19" i="21"/>
  <c r="G19" i="21"/>
  <c r="K11" i="18"/>
  <c r="K57" i="18"/>
  <c r="L41" i="18"/>
  <c r="K92" i="18"/>
  <c r="L42" i="18"/>
  <c r="G93" i="18"/>
  <c r="K45" i="18"/>
  <c r="K61" i="18"/>
  <c r="K86" i="18"/>
  <c r="L38" i="18"/>
  <c r="L67" i="18"/>
  <c r="L26" i="18"/>
  <c r="L51" i="18"/>
  <c r="L83" i="18"/>
  <c r="L39" i="18"/>
  <c r="L87" i="18"/>
  <c r="L74" i="18"/>
  <c r="K71" i="18"/>
  <c r="L90" i="18"/>
  <c r="L31" i="18"/>
  <c r="K82" i="18"/>
  <c r="L35" i="18"/>
  <c r="L47" i="18"/>
  <c r="L63" i="18"/>
  <c r="L79" i="18"/>
  <c r="C11" i="18"/>
  <c r="K34" i="18"/>
  <c r="K50" i="18"/>
  <c r="K66" i="18"/>
  <c r="K78" i="18"/>
  <c r="L28" i="18"/>
  <c r="K28" i="18"/>
  <c r="L48" i="18"/>
  <c r="K48" i="18"/>
  <c r="L40" i="18"/>
  <c r="K40" i="18"/>
  <c r="L80" i="18"/>
  <c r="K80" i="18"/>
  <c r="L64" i="18"/>
  <c r="K64" i="18"/>
  <c r="L44" i="18"/>
  <c r="K44" i="18"/>
  <c r="D11" i="18"/>
  <c r="G11" i="18"/>
  <c r="L88" i="18"/>
  <c r="K88" i="18"/>
  <c r="L52" i="18"/>
  <c r="K52" i="18"/>
  <c r="L60" i="18"/>
  <c r="K60" i="18"/>
  <c r="H11" i="18"/>
  <c r="J11" i="18"/>
  <c r="L68" i="18"/>
  <c r="K68" i="18"/>
  <c r="L32" i="18"/>
  <c r="K32" i="18"/>
  <c r="L24" i="18"/>
  <c r="K24" i="18"/>
  <c r="E11" i="18"/>
  <c r="M11" i="18"/>
  <c r="I11" i="18"/>
  <c r="L72" i="18"/>
  <c r="K72" i="18"/>
  <c r="L56" i="18"/>
  <c r="K56" i="18"/>
  <c r="L36" i="18"/>
  <c r="K36" i="18"/>
  <c r="L84" i="18"/>
  <c r="K84" i="18"/>
  <c r="L76" i="18"/>
  <c r="K76" i="18"/>
  <c r="L11" i="18"/>
  <c r="F11" i="18"/>
  <c r="I93" i="18"/>
  <c r="J93" i="18" s="1"/>
  <c r="G94" i="18"/>
  <c r="I23" i="18"/>
  <c r="J23" i="18" s="1"/>
  <c r="G22" i="18"/>
  <c r="O15" i="17" a="1"/>
  <c r="O15" i="17" s="1"/>
  <c r="E18" i="17" s="1"/>
  <c r="Q15" i="17"/>
  <c r="P19" i="17"/>
  <c r="F15" i="17" s="1"/>
  <c r="P20" i="17"/>
  <c r="F40" i="17" s="1"/>
  <c r="G40" i="17" s="1"/>
  <c r="H40" i="17" s="1"/>
  <c r="P21" i="17"/>
  <c r="F77" i="17" s="1"/>
  <c r="P22" i="17"/>
  <c r="P23" i="17"/>
  <c r="P24" i="17"/>
  <c r="F44" i="17" s="1"/>
  <c r="P25" i="17"/>
  <c r="F69" i="17" s="1"/>
  <c r="P26" i="17"/>
  <c r="P27" i="17"/>
  <c r="P28" i="17"/>
  <c r="F84" i="17" s="1"/>
  <c r="P29" i="17"/>
  <c r="F37" i="17" s="1"/>
  <c r="P30" i="17"/>
  <c r="E32" i="17"/>
  <c r="E33" i="17"/>
  <c r="E34" i="17"/>
  <c r="E36" i="17"/>
  <c r="E37" i="17"/>
  <c r="E38" i="17"/>
  <c r="E40" i="17"/>
  <c r="E41" i="17"/>
  <c r="F41" i="17"/>
  <c r="G41" i="17" s="1"/>
  <c r="H41" i="17" s="1"/>
  <c r="E42" i="17"/>
  <c r="E44" i="17"/>
  <c r="E45" i="17"/>
  <c r="E46" i="17"/>
  <c r="E48" i="17"/>
  <c r="E49" i="17"/>
  <c r="E50" i="17"/>
  <c r="E52" i="17"/>
  <c r="E53" i="17"/>
  <c r="E54" i="17"/>
  <c r="E56" i="17"/>
  <c r="E57" i="17"/>
  <c r="F57" i="17"/>
  <c r="G57" i="17" s="1"/>
  <c r="H57" i="17" s="1"/>
  <c r="E58" i="17"/>
  <c r="E60" i="17"/>
  <c r="E61" i="17"/>
  <c r="E62" i="17"/>
  <c r="E64" i="17"/>
  <c r="F64" i="17" s="1"/>
  <c r="E65" i="17"/>
  <c r="E66" i="17"/>
  <c r="E68" i="17"/>
  <c r="F68" i="17" s="1"/>
  <c r="E69" i="17"/>
  <c r="E70" i="17"/>
  <c r="E72" i="17"/>
  <c r="F72" i="17"/>
  <c r="G72" i="17" s="1"/>
  <c r="H72" i="17" s="1"/>
  <c r="E73" i="17"/>
  <c r="E74" i="17"/>
  <c r="E76" i="17"/>
  <c r="F76" i="17"/>
  <c r="G76" i="17" s="1"/>
  <c r="H76" i="17" s="1"/>
  <c r="E77" i="17"/>
  <c r="E78" i="17"/>
  <c r="E80" i="17"/>
  <c r="E81" i="17"/>
  <c r="E82" i="17"/>
  <c r="F82" i="17" s="1"/>
  <c r="E83" i="17"/>
  <c r="E84" i="17"/>
  <c r="E85" i="17"/>
  <c r="F85" i="17"/>
  <c r="G85" i="17" s="1"/>
  <c r="H85" i="17" s="1"/>
  <c r="E86" i="17"/>
  <c r="F86" i="17" s="1"/>
  <c r="E87" i="17"/>
  <c r="E88" i="17"/>
  <c r="F88" i="17"/>
  <c r="I88" i="17" s="1"/>
  <c r="E89" i="17"/>
  <c r="F89" i="17"/>
  <c r="G89" i="17" s="1"/>
  <c r="H89" i="17" s="1"/>
  <c r="E90" i="17"/>
  <c r="F90" i="17" s="1"/>
  <c r="E91" i="17"/>
  <c r="E92" i="17"/>
  <c r="F92" i="17"/>
  <c r="I92" i="17" s="1"/>
  <c r="E93" i="17"/>
  <c r="E94" i="17"/>
  <c r="F94" i="17" s="1"/>
  <c r="E95" i="17"/>
  <c r="E96" i="17"/>
  <c r="E97" i="17"/>
  <c r="F97" i="17"/>
  <c r="E98" i="17"/>
  <c r="F98" i="17" s="1"/>
  <c r="F95" i="17" l="1"/>
  <c r="F83" i="17"/>
  <c r="F91" i="17"/>
  <c r="F87" i="17"/>
  <c r="I87" i="17" s="1"/>
  <c r="G92" i="17"/>
  <c r="H92" i="17" s="1"/>
  <c r="G27" i="23"/>
  <c r="H27" i="23" s="1"/>
  <c r="M4" i="23" s="1"/>
  <c r="I27" i="23"/>
  <c r="E27" i="23"/>
  <c r="F28" i="23" s="1"/>
  <c r="K8" i="19"/>
  <c r="L8" i="19"/>
  <c r="H22" i="21"/>
  <c r="L22" i="21"/>
  <c r="M22" i="21" s="1"/>
  <c r="I23" i="21"/>
  <c r="J23" i="21" s="1"/>
  <c r="G23" i="21"/>
  <c r="F23" i="21"/>
  <c r="L19" i="21"/>
  <c r="M19" i="21" s="1"/>
  <c r="H19" i="21"/>
  <c r="D24" i="21" a="1"/>
  <c r="D24" i="21" s="1"/>
  <c r="L23" i="21"/>
  <c r="M23" i="21" s="1"/>
  <c r="L20" i="21"/>
  <c r="M20" i="21" s="1"/>
  <c r="I21" i="21"/>
  <c r="J21" i="21" s="1"/>
  <c r="F21" i="21"/>
  <c r="G21" i="21"/>
  <c r="I20" i="21"/>
  <c r="J20" i="21" s="1"/>
  <c r="F20" i="21"/>
  <c r="G20" i="21"/>
  <c r="D25" i="21" s="1" a="1"/>
  <c r="D25" i="21" s="1"/>
  <c r="G24" i="21"/>
  <c r="F24" i="21"/>
  <c r="I22" i="18"/>
  <c r="J22" i="18" s="1"/>
  <c r="G21" i="18"/>
  <c r="L23" i="18"/>
  <c r="K23" i="18"/>
  <c r="G95" i="18"/>
  <c r="I94" i="18"/>
  <c r="J94" i="18" s="1"/>
  <c r="K93" i="18"/>
  <c r="L93" i="18"/>
  <c r="I84" i="17"/>
  <c r="G84" i="17"/>
  <c r="H84" i="17" s="1"/>
  <c r="I44" i="17"/>
  <c r="G44" i="17"/>
  <c r="H44" i="17" s="1"/>
  <c r="F96" i="17"/>
  <c r="F93" i="17"/>
  <c r="G93" i="17" s="1"/>
  <c r="H93" i="17" s="1"/>
  <c r="F80" i="17"/>
  <c r="I76" i="17"/>
  <c r="F56" i="17"/>
  <c r="G56" i="17" s="1"/>
  <c r="H56" i="17" s="1"/>
  <c r="F52" i="17"/>
  <c r="G52" i="17" s="1"/>
  <c r="H52" i="17" s="1"/>
  <c r="F60" i="17"/>
  <c r="F48" i="17"/>
  <c r="I48" i="17" s="1"/>
  <c r="G88" i="17"/>
  <c r="H88" i="17" s="1"/>
  <c r="F81" i="17"/>
  <c r="G81" i="17" s="1"/>
  <c r="H81" i="17" s="1"/>
  <c r="F73" i="17"/>
  <c r="G73" i="17" s="1"/>
  <c r="H73" i="17" s="1"/>
  <c r="F36" i="17"/>
  <c r="G36" i="17" s="1"/>
  <c r="H36" i="17" s="1"/>
  <c r="G94" i="17"/>
  <c r="H94" i="17" s="1"/>
  <c r="I94" i="17"/>
  <c r="G87" i="17"/>
  <c r="H87" i="17" s="1"/>
  <c r="I82" i="17"/>
  <c r="G82" i="17"/>
  <c r="H82" i="17" s="1"/>
  <c r="I83" i="17"/>
  <c r="G83" i="17"/>
  <c r="H83" i="17" s="1"/>
  <c r="I91" i="17"/>
  <c r="G91" i="17"/>
  <c r="H91" i="17" s="1"/>
  <c r="G86" i="17"/>
  <c r="H86" i="17" s="1"/>
  <c r="I86" i="17"/>
  <c r="G68" i="17"/>
  <c r="H68" i="17" s="1"/>
  <c r="I68" i="17"/>
  <c r="I95" i="17"/>
  <c r="G95" i="17"/>
  <c r="H95" i="17" s="1"/>
  <c r="G90" i="17"/>
  <c r="H90" i="17" s="1"/>
  <c r="I90" i="17"/>
  <c r="I64" i="17"/>
  <c r="G64" i="17"/>
  <c r="H64" i="17" s="1"/>
  <c r="G37" i="17"/>
  <c r="H37" i="17" s="1"/>
  <c r="I37" i="17"/>
  <c r="G69" i="17"/>
  <c r="H69" i="17" s="1"/>
  <c r="I69" i="17"/>
  <c r="G77" i="17"/>
  <c r="H77" i="17" s="1"/>
  <c r="I77" i="17"/>
  <c r="I89" i="17"/>
  <c r="I85" i="17"/>
  <c r="I81" i="17"/>
  <c r="F61" i="17"/>
  <c r="F45" i="17"/>
  <c r="F38" i="17"/>
  <c r="F50" i="17"/>
  <c r="F62" i="17"/>
  <c r="F74" i="17"/>
  <c r="F34" i="17"/>
  <c r="F46" i="17"/>
  <c r="F58" i="17"/>
  <c r="F70" i="17"/>
  <c r="F18" i="17"/>
  <c r="F42" i="17"/>
  <c r="F54" i="17"/>
  <c r="F66" i="17"/>
  <c r="F78" i="17"/>
  <c r="I93" i="17"/>
  <c r="I73" i="17"/>
  <c r="I72" i="17"/>
  <c r="F65" i="17"/>
  <c r="I57" i="17"/>
  <c r="I56" i="17"/>
  <c r="F49" i="17"/>
  <c r="I41" i="17"/>
  <c r="I40" i="17"/>
  <c r="F33" i="17"/>
  <c r="F53" i="17"/>
  <c r="F32" i="17"/>
  <c r="F22" i="17"/>
  <c r="E16" i="17"/>
  <c r="F16" i="17" s="1"/>
  <c r="E19" i="17"/>
  <c r="F19" i="17" s="1"/>
  <c r="E21" i="17"/>
  <c r="F21" i="17" s="1"/>
  <c r="E23" i="17"/>
  <c r="F23" i="17" s="1"/>
  <c r="E25" i="17"/>
  <c r="F25" i="17" s="1"/>
  <c r="E27" i="17"/>
  <c r="F27" i="17" s="1"/>
  <c r="E29" i="17"/>
  <c r="F29" i="17" s="1"/>
  <c r="E31" i="17"/>
  <c r="F31" i="17" s="1"/>
  <c r="E35" i="17"/>
  <c r="F35" i="17" s="1"/>
  <c r="E39" i="17"/>
  <c r="F39" i="17" s="1"/>
  <c r="E43" i="17"/>
  <c r="F43" i="17" s="1"/>
  <c r="E47" i="17"/>
  <c r="F47" i="17" s="1"/>
  <c r="E51" i="17"/>
  <c r="F51" i="17" s="1"/>
  <c r="E55" i="17"/>
  <c r="F55" i="17" s="1"/>
  <c r="E59" i="17"/>
  <c r="F59" i="17" s="1"/>
  <c r="E63" i="17"/>
  <c r="F63" i="17" s="1"/>
  <c r="E67" i="17"/>
  <c r="F67" i="17" s="1"/>
  <c r="E71" i="17"/>
  <c r="F71" i="17" s="1"/>
  <c r="E75" i="17"/>
  <c r="F75" i="17" s="1"/>
  <c r="E79" i="17"/>
  <c r="F79" i="17" s="1"/>
  <c r="E15" i="17"/>
  <c r="E30" i="17"/>
  <c r="F30" i="17" s="1"/>
  <c r="E28" i="17"/>
  <c r="F28" i="17" s="1"/>
  <c r="E26" i="17"/>
  <c r="F26" i="17" s="1"/>
  <c r="E24" i="17"/>
  <c r="F24" i="17" s="1"/>
  <c r="E22" i="17"/>
  <c r="E20" i="17"/>
  <c r="F20" i="17" s="1"/>
  <c r="E17" i="17"/>
  <c r="F17" i="17" s="1"/>
  <c r="I52" i="17" l="1"/>
  <c r="G48" i="17"/>
  <c r="H48" i="17" s="1"/>
  <c r="G28" i="23"/>
  <c r="H28" i="23" s="1"/>
  <c r="H29" i="23" s="1"/>
  <c r="I28" i="23"/>
  <c r="I29" i="23" s="1"/>
  <c r="K9" i="19"/>
  <c r="L9" i="19"/>
  <c r="H23" i="21"/>
  <c r="H21" i="21"/>
  <c r="H24" i="21"/>
  <c r="H20" i="21"/>
  <c r="K25" i="21"/>
  <c r="D26" i="21" a="1"/>
  <c r="D26" i="21" s="1"/>
  <c r="K26" i="21" s="1"/>
  <c r="D27" i="21" a="1"/>
  <c r="D27" i="21" s="1"/>
  <c r="K27" i="21" s="1"/>
  <c r="K24" i="21"/>
  <c r="I24" i="21"/>
  <c r="J24" i="21" s="1"/>
  <c r="E25" i="21" a="1"/>
  <c r="E25" i="21" s="1"/>
  <c r="I25" i="21" s="1"/>
  <c r="J25" i="21" s="1"/>
  <c r="E26" i="21" a="1"/>
  <c r="E26" i="21" s="1"/>
  <c r="L94" i="18"/>
  <c r="K94" i="18"/>
  <c r="G20" i="18"/>
  <c r="I21" i="18"/>
  <c r="J21" i="18" s="1"/>
  <c r="G96" i="18"/>
  <c r="I95" i="18"/>
  <c r="J95" i="18" s="1"/>
  <c r="L22" i="18"/>
  <c r="K22" i="18"/>
  <c r="I60" i="17"/>
  <c r="G60" i="17"/>
  <c r="H60" i="17" s="1"/>
  <c r="I80" i="17"/>
  <c r="G80" i="17"/>
  <c r="H80" i="17" s="1"/>
  <c r="I36" i="17"/>
  <c r="G21" i="17"/>
  <c r="H21" i="17" s="1"/>
  <c r="I21" i="17"/>
  <c r="I26" i="17"/>
  <c r="G26" i="17"/>
  <c r="H26" i="17" s="1"/>
  <c r="I20" i="17"/>
  <c r="G20" i="17"/>
  <c r="H20" i="17" s="1"/>
  <c r="G29" i="17"/>
  <c r="H29" i="17" s="1"/>
  <c r="I29" i="17"/>
  <c r="G19" i="17"/>
  <c r="H19" i="17" s="1"/>
  <c r="I19" i="17"/>
  <c r="I17" i="17"/>
  <c r="G17" i="17"/>
  <c r="H17" i="17" s="1"/>
  <c r="I24" i="17"/>
  <c r="G24" i="17"/>
  <c r="H24" i="17" s="1"/>
  <c r="G25" i="17"/>
  <c r="H25" i="17" s="1"/>
  <c r="I25" i="17"/>
  <c r="G16" i="17"/>
  <c r="H16" i="17" s="1"/>
  <c r="I16" i="17"/>
  <c r="I75" i="17"/>
  <c r="G75" i="17"/>
  <c r="H75" i="17" s="1"/>
  <c r="I22" i="17"/>
  <c r="G22" i="17"/>
  <c r="H22" i="17" s="1"/>
  <c r="G49" i="17"/>
  <c r="H49" i="17" s="1"/>
  <c r="I49" i="17"/>
  <c r="G34" i="17"/>
  <c r="H34" i="17" s="1"/>
  <c r="I34" i="17"/>
  <c r="I30" i="17"/>
  <c r="G30" i="17"/>
  <c r="H30" i="17" s="1"/>
  <c r="I55" i="17"/>
  <c r="G55" i="17"/>
  <c r="H55" i="17" s="1"/>
  <c r="G27" i="17"/>
  <c r="H27" i="17" s="1"/>
  <c r="I27" i="17"/>
  <c r="G32" i="17"/>
  <c r="H32" i="17" s="1"/>
  <c r="I32" i="17"/>
  <c r="G33" i="17"/>
  <c r="H33" i="17" s="1"/>
  <c r="I33" i="17"/>
  <c r="G66" i="17"/>
  <c r="H66" i="17" s="1"/>
  <c r="I66" i="17"/>
  <c r="G70" i="17"/>
  <c r="H70" i="17" s="1"/>
  <c r="I70" i="17"/>
  <c r="G74" i="17"/>
  <c r="H74" i="17" s="1"/>
  <c r="I74" i="17"/>
  <c r="G45" i="17"/>
  <c r="H45" i="17" s="1"/>
  <c r="I45" i="17"/>
  <c r="I59" i="17"/>
  <c r="G59" i="17"/>
  <c r="H59" i="17" s="1"/>
  <c r="I78" i="17"/>
  <c r="G78" i="17"/>
  <c r="H78" i="17" s="1"/>
  <c r="G38" i="17"/>
  <c r="H38" i="17" s="1"/>
  <c r="I38" i="17"/>
  <c r="I71" i="17"/>
  <c r="G71" i="17"/>
  <c r="H71" i="17" s="1"/>
  <c r="I39" i="17"/>
  <c r="G39" i="17"/>
  <c r="H39" i="17" s="1"/>
  <c r="I67" i="17"/>
  <c r="G67" i="17"/>
  <c r="H67" i="17" s="1"/>
  <c r="I51" i="17"/>
  <c r="G51" i="17"/>
  <c r="H51" i="17" s="1"/>
  <c r="I35" i="17"/>
  <c r="G35" i="17"/>
  <c r="H35" i="17" s="1"/>
  <c r="G54" i="17"/>
  <c r="H54" i="17" s="1"/>
  <c r="I54" i="17"/>
  <c r="G58" i="17"/>
  <c r="H58" i="17" s="1"/>
  <c r="I58" i="17"/>
  <c r="I62" i="17"/>
  <c r="G62" i="17"/>
  <c r="H62" i="17" s="1"/>
  <c r="G61" i="17"/>
  <c r="H61" i="17" s="1"/>
  <c r="I61" i="17"/>
  <c r="I28" i="17"/>
  <c r="G28" i="17"/>
  <c r="H28" i="17" s="1"/>
  <c r="I43" i="17"/>
  <c r="G43" i="17"/>
  <c r="H43" i="17" s="1"/>
  <c r="I15" i="17"/>
  <c r="G15" i="17"/>
  <c r="G18" i="17"/>
  <c r="H18" i="17" s="1"/>
  <c r="I18" i="17"/>
  <c r="I79" i="17"/>
  <c r="G79" i="17"/>
  <c r="H79" i="17" s="1"/>
  <c r="I63" i="17"/>
  <c r="G63" i="17"/>
  <c r="H63" i="17" s="1"/>
  <c r="I47" i="17"/>
  <c r="G47" i="17"/>
  <c r="H47" i="17" s="1"/>
  <c r="G31" i="17"/>
  <c r="H31" i="17" s="1"/>
  <c r="I31" i="17"/>
  <c r="G23" i="17"/>
  <c r="H23" i="17" s="1"/>
  <c r="I23" i="17"/>
  <c r="G53" i="17"/>
  <c r="H53" i="17" s="1"/>
  <c r="I53" i="17"/>
  <c r="G65" i="17"/>
  <c r="H65" i="17" s="1"/>
  <c r="I65" i="17"/>
  <c r="I42" i="17"/>
  <c r="G42" i="17"/>
  <c r="H42" i="17" s="1"/>
  <c r="I46" i="17"/>
  <c r="G46" i="17"/>
  <c r="H46" i="17" s="1"/>
  <c r="G50" i="17"/>
  <c r="H50" i="17" s="1"/>
  <c r="I50" i="17"/>
  <c r="K10" i="19" l="1"/>
  <c r="L10" i="19"/>
  <c r="I26" i="21"/>
  <c r="J26" i="21" s="1"/>
  <c r="F26" i="21"/>
  <c r="G26" i="21"/>
  <c r="F25" i="21"/>
  <c r="G25" i="21"/>
  <c r="E27" i="21" a="1"/>
  <c r="E27" i="21" s="1"/>
  <c r="L26" i="21"/>
  <c r="M26" i="21" s="1"/>
  <c r="L25" i="21"/>
  <c r="M25" i="21" s="1"/>
  <c r="L27" i="21"/>
  <c r="M27" i="21" s="1"/>
  <c r="L24" i="21"/>
  <c r="M24" i="21" s="1"/>
  <c r="L95" i="18"/>
  <c r="K95" i="18"/>
  <c r="G19" i="18"/>
  <c r="I20" i="18"/>
  <c r="J20" i="18" s="1"/>
  <c r="G97" i="18"/>
  <c r="I96" i="18"/>
  <c r="J96" i="18" s="1"/>
  <c r="K21" i="18"/>
  <c r="L21" i="18"/>
  <c r="H15" i="17"/>
  <c r="H96" i="17" s="1"/>
  <c r="K15" i="17" s="1"/>
  <c r="G96" i="17"/>
  <c r="K14" i="17" s="1"/>
  <c r="K16" i="17"/>
  <c r="I96" i="17"/>
  <c r="K11" i="19" l="1"/>
  <c r="L11" i="19"/>
  <c r="H25" i="21"/>
  <c r="H26" i="21"/>
  <c r="I27" i="21"/>
  <c r="J27" i="21" s="1"/>
  <c r="F27" i="21"/>
  <c r="G27" i="21"/>
  <c r="K96" i="18"/>
  <c r="L96" i="18"/>
  <c r="G98" i="18"/>
  <c r="I97" i="18"/>
  <c r="J97" i="18" s="1"/>
  <c r="I19" i="18"/>
  <c r="J19" i="18" s="1"/>
  <c r="K20" i="18"/>
  <c r="L20" i="18"/>
  <c r="S59" i="6"/>
  <c r="S58" i="6"/>
  <c r="S57" i="6"/>
  <c r="T52" i="6"/>
  <c r="T51" i="6"/>
  <c r="N60" i="6"/>
  <c r="O10" i="6"/>
  <c r="T48" i="6"/>
  <c r="T47" i="6"/>
  <c r="T24" i="6"/>
  <c r="T25" i="6"/>
  <c r="T26" i="6"/>
  <c r="T27" i="6"/>
  <c r="T28" i="6"/>
  <c r="T29" i="6"/>
  <c r="T30" i="6"/>
  <c r="T31" i="6"/>
  <c r="T32" i="6"/>
  <c r="T33" i="6"/>
  <c r="T34" i="6"/>
  <c r="T35" i="6"/>
  <c r="T36" i="6"/>
  <c r="T37" i="6"/>
  <c r="T38" i="6"/>
  <c r="T39" i="6"/>
  <c r="T40" i="6"/>
  <c r="T41" i="6"/>
  <c r="T42" i="6"/>
  <c r="T43" i="6"/>
  <c r="T44" i="6"/>
  <c r="T45" i="6"/>
  <c r="T46" i="6"/>
  <c r="T23" i="6"/>
  <c r="K12" i="19" l="1"/>
  <c r="L12" i="19"/>
  <c r="H27" i="21"/>
  <c r="K97" i="18"/>
  <c r="L97" i="18"/>
  <c r="G99" i="18"/>
  <c r="G100" i="18" s="1"/>
  <c r="I98" i="18"/>
  <c r="J98" i="18" s="1"/>
  <c r="L19" i="18"/>
  <c r="K19" i="18"/>
  <c r="I18" i="18"/>
  <c r="J18" i="18" s="1"/>
  <c r="M58" i="6"/>
  <c r="L47" i="6"/>
  <c r="K47" i="6"/>
  <c r="E47" i="6"/>
  <c r="F47" i="6"/>
  <c r="K48" i="6"/>
  <c r="L48" i="6"/>
  <c r="O24" i="6"/>
  <c r="O25" i="6"/>
  <c r="O26" i="6"/>
  <c r="O27" i="6"/>
  <c r="O28" i="6"/>
  <c r="O29" i="6"/>
  <c r="O30" i="6"/>
  <c r="O31" i="6"/>
  <c r="O32" i="6"/>
  <c r="O33" i="6"/>
  <c r="O34" i="6"/>
  <c r="O35" i="6"/>
  <c r="O36" i="6"/>
  <c r="O37" i="6"/>
  <c r="O38" i="6"/>
  <c r="O39" i="6"/>
  <c r="O40" i="6"/>
  <c r="O41" i="6"/>
  <c r="O42" i="6"/>
  <c r="O43" i="6"/>
  <c r="O44" i="6"/>
  <c r="O45" i="6"/>
  <c r="O46" i="6"/>
  <c r="O23" i="6"/>
  <c r="N24" i="6"/>
  <c r="N25" i="6"/>
  <c r="N26" i="6"/>
  <c r="N27" i="6"/>
  <c r="N28" i="6"/>
  <c r="N29" i="6"/>
  <c r="N30" i="6"/>
  <c r="N31" i="6"/>
  <c r="N32" i="6"/>
  <c r="N33" i="6"/>
  <c r="N34" i="6"/>
  <c r="N35" i="6"/>
  <c r="N36" i="6"/>
  <c r="N37" i="6"/>
  <c r="N38" i="6"/>
  <c r="N39" i="6"/>
  <c r="N40" i="6"/>
  <c r="N41" i="6"/>
  <c r="N42" i="6"/>
  <c r="N43" i="6"/>
  <c r="N44" i="6"/>
  <c r="N45" i="6"/>
  <c r="N46" i="6"/>
  <c r="N23" i="6"/>
  <c r="M24" i="6"/>
  <c r="M25" i="6"/>
  <c r="M26" i="6"/>
  <c r="M27" i="6"/>
  <c r="M28" i="6"/>
  <c r="M29" i="6"/>
  <c r="M30" i="6"/>
  <c r="M31" i="6"/>
  <c r="M32" i="6"/>
  <c r="M33" i="6"/>
  <c r="M34" i="6"/>
  <c r="M35" i="6"/>
  <c r="M36" i="6"/>
  <c r="M37" i="6"/>
  <c r="M38" i="6"/>
  <c r="M39" i="6"/>
  <c r="M40" i="6"/>
  <c r="M41" i="6"/>
  <c r="M42" i="6"/>
  <c r="M43" i="6"/>
  <c r="M44" i="6"/>
  <c r="M45" i="6"/>
  <c r="M46" i="6"/>
  <c r="M23" i="6"/>
  <c r="F48" i="6"/>
  <c r="E48" i="6"/>
  <c r="I24" i="6"/>
  <c r="I25" i="6"/>
  <c r="I26" i="6"/>
  <c r="I27" i="6"/>
  <c r="I28" i="6"/>
  <c r="I29" i="6"/>
  <c r="I30" i="6"/>
  <c r="I31" i="6"/>
  <c r="I32" i="6"/>
  <c r="I33" i="6"/>
  <c r="I34" i="6"/>
  <c r="I35" i="6"/>
  <c r="I36" i="6"/>
  <c r="I37" i="6"/>
  <c r="I38" i="6"/>
  <c r="I39" i="6"/>
  <c r="I40" i="6"/>
  <c r="I41" i="6"/>
  <c r="I42" i="6"/>
  <c r="I43" i="6"/>
  <c r="I44" i="6"/>
  <c r="I45" i="6"/>
  <c r="I46" i="6"/>
  <c r="I23" i="6"/>
  <c r="H24" i="6"/>
  <c r="H25" i="6"/>
  <c r="H26" i="6"/>
  <c r="H27" i="6"/>
  <c r="H28" i="6"/>
  <c r="H29" i="6"/>
  <c r="H30" i="6"/>
  <c r="H31" i="6"/>
  <c r="H32" i="6"/>
  <c r="H33" i="6"/>
  <c r="H34" i="6"/>
  <c r="H35" i="6"/>
  <c r="H36" i="6"/>
  <c r="H37" i="6"/>
  <c r="H38" i="6"/>
  <c r="H39" i="6"/>
  <c r="H40" i="6"/>
  <c r="H41" i="6"/>
  <c r="H42" i="6"/>
  <c r="H43" i="6"/>
  <c r="H44" i="6"/>
  <c r="H45" i="6"/>
  <c r="H46" i="6"/>
  <c r="H23" i="6"/>
  <c r="G24" i="6"/>
  <c r="G25" i="6"/>
  <c r="G26" i="6"/>
  <c r="G27" i="6"/>
  <c r="G28" i="6"/>
  <c r="G29" i="6"/>
  <c r="G30" i="6"/>
  <c r="G31" i="6"/>
  <c r="G32" i="6"/>
  <c r="G33" i="6"/>
  <c r="G34" i="6"/>
  <c r="G35" i="6"/>
  <c r="G36" i="6"/>
  <c r="G37" i="6"/>
  <c r="G38" i="6"/>
  <c r="G39" i="6"/>
  <c r="G40" i="6"/>
  <c r="G41" i="6"/>
  <c r="G42" i="6"/>
  <c r="G43" i="6"/>
  <c r="G44" i="6"/>
  <c r="G45" i="6"/>
  <c r="G46" i="6"/>
  <c r="G23" i="6"/>
  <c r="K13" i="19" l="1"/>
  <c r="L13" i="19"/>
  <c r="K102" i="18"/>
  <c r="K103" i="18"/>
  <c r="P102" i="18" s="1"/>
  <c r="L18" i="18"/>
  <c r="K18" i="18"/>
  <c r="L98" i="18"/>
  <c r="M99" i="18" s="1"/>
  <c r="M100" i="18" s="1"/>
  <c r="K98" i="18"/>
  <c r="I99" i="18"/>
  <c r="G47" i="6"/>
  <c r="G52" i="6" s="1"/>
  <c r="H48" i="6"/>
  <c r="I48" i="6"/>
  <c r="O47" i="6"/>
  <c r="M51" i="6" s="1"/>
  <c r="M47" i="6"/>
  <c r="M52" i="6" s="1"/>
  <c r="N48" i="6"/>
  <c r="O48" i="6"/>
  <c r="H47" i="6"/>
  <c r="G53" i="6" s="1"/>
  <c r="G48" i="6"/>
  <c r="M48" i="6"/>
  <c r="I47" i="6"/>
  <c r="G51" i="6" s="1"/>
  <c r="G55" i="6" s="1"/>
  <c r="G56" i="6" s="1"/>
  <c r="G58" i="6" s="1"/>
  <c r="N47" i="6"/>
  <c r="M53" i="6" s="1"/>
  <c r="B7" i="6"/>
  <c r="B6" i="6"/>
  <c r="K14" i="19" l="1"/>
  <c r="L14" i="19"/>
  <c r="L103" i="18"/>
  <c r="P104" i="18" s="1"/>
  <c r="L102" i="18"/>
  <c r="G101" i="18"/>
  <c r="G102" i="18" s="1"/>
  <c r="I100" i="18"/>
  <c r="M103" i="18"/>
  <c r="P103" i="18" s="1"/>
  <c r="M102" i="18"/>
  <c r="M59" i="6"/>
  <c r="M55" i="6"/>
  <c r="M56" i="6" s="1"/>
  <c r="K15" i="19" l="1"/>
  <c r="L15" i="19"/>
  <c r="G103" i="18"/>
  <c r="I102" i="18"/>
  <c r="I101" i="18"/>
  <c r="M19" i="18" a="1"/>
  <c r="M19" i="18" s="1"/>
  <c r="Q26" i="6"/>
  <c r="R26" i="6" s="1"/>
  <c r="S26" i="6" s="1"/>
  <c r="Q30" i="6"/>
  <c r="R30" i="6" s="1"/>
  <c r="S30" i="6" s="1"/>
  <c r="Q34" i="6"/>
  <c r="R34" i="6" s="1"/>
  <c r="S34" i="6" s="1"/>
  <c r="Q38" i="6"/>
  <c r="R38" i="6" s="1"/>
  <c r="S38" i="6" s="1"/>
  <c r="Q42" i="6"/>
  <c r="R42" i="6" s="1"/>
  <c r="S42" i="6" s="1"/>
  <c r="Q46" i="6"/>
  <c r="R46" i="6" s="1"/>
  <c r="S46" i="6" s="1"/>
  <c r="Q27" i="6"/>
  <c r="R27" i="6" s="1"/>
  <c r="S27" i="6" s="1"/>
  <c r="Q31" i="6"/>
  <c r="R31" i="6" s="1"/>
  <c r="S31" i="6" s="1"/>
  <c r="Q35" i="6"/>
  <c r="R35" i="6" s="1"/>
  <c r="S35" i="6" s="1"/>
  <c r="Q39" i="6"/>
  <c r="R39" i="6" s="1"/>
  <c r="S39" i="6" s="1"/>
  <c r="Q43" i="6"/>
  <c r="R43" i="6" s="1"/>
  <c r="S43" i="6" s="1"/>
  <c r="Q23" i="6"/>
  <c r="Q24" i="6"/>
  <c r="R24" i="6" s="1"/>
  <c r="S24" i="6" s="1"/>
  <c r="Q28" i="6"/>
  <c r="R28" i="6" s="1"/>
  <c r="S28" i="6" s="1"/>
  <c r="Q32" i="6"/>
  <c r="R32" i="6" s="1"/>
  <c r="S32" i="6" s="1"/>
  <c r="Q36" i="6"/>
  <c r="R36" i="6" s="1"/>
  <c r="S36" i="6" s="1"/>
  <c r="Q40" i="6"/>
  <c r="R40" i="6" s="1"/>
  <c r="S40" i="6" s="1"/>
  <c r="Q44" i="6"/>
  <c r="R44" i="6" s="1"/>
  <c r="S44" i="6" s="1"/>
  <c r="Q25" i="6"/>
  <c r="R25" i="6" s="1"/>
  <c r="S25" i="6" s="1"/>
  <c r="Q29" i="6"/>
  <c r="R29" i="6" s="1"/>
  <c r="S29" i="6" s="1"/>
  <c r="Q33" i="6"/>
  <c r="R33" i="6" s="1"/>
  <c r="S33" i="6" s="1"/>
  <c r="Q37" i="6"/>
  <c r="R37" i="6" s="1"/>
  <c r="S37" i="6" s="1"/>
  <c r="Q41" i="6"/>
  <c r="R41" i="6" s="1"/>
  <c r="S41" i="6" s="1"/>
  <c r="Q45" i="6"/>
  <c r="R45" i="6" s="1"/>
  <c r="S45" i="6" s="1"/>
  <c r="M57" i="6"/>
  <c r="M60" i="6" s="1"/>
  <c r="K16" i="19" l="1"/>
  <c r="L16" i="19"/>
  <c r="G104" i="18"/>
  <c r="I103" i="18"/>
  <c r="Q48" i="6"/>
  <c r="Q47" i="6"/>
  <c r="R23" i="6"/>
  <c r="K17" i="19" l="1"/>
  <c r="L17" i="19"/>
  <c r="G105" i="18"/>
  <c r="I104" i="18"/>
  <c r="S23" i="6"/>
  <c r="R48" i="6"/>
  <c r="R47" i="6"/>
  <c r="K18" i="19" l="1"/>
  <c r="L18" i="19"/>
  <c r="G106" i="18"/>
  <c r="I105" i="18"/>
  <c r="S48" i="6"/>
  <c r="S47" i="6"/>
  <c r="K19" i="19" l="1"/>
  <c r="L19" i="19"/>
  <c r="G107" i="18"/>
  <c r="I106" i="18"/>
  <c r="K20" i="19" l="1"/>
  <c r="L20" i="19"/>
  <c r="G108" i="18"/>
  <c r="I107" i="18"/>
  <c r="K21" i="19" l="1"/>
  <c r="L21" i="19"/>
  <c r="G109" i="18"/>
  <c r="I108" i="18"/>
  <c r="K22" i="19" l="1"/>
  <c r="L22" i="19"/>
  <c r="G110" i="18"/>
  <c r="I109" i="18"/>
  <c r="K23" i="19" l="1"/>
  <c r="L23" i="19"/>
  <c r="G111" i="18"/>
  <c r="I110" i="18"/>
  <c r="K24" i="19" l="1"/>
  <c r="L24" i="19"/>
  <c r="G112" i="18"/>
  <c r="I111" i="18"/>
  <c r="K25" i="19" l="1"/>
  <c r="L25" i="19"/>
  <c r="G113" i="18"/>
  <c r="I113" i="18" s="1"/>
  <c r="I112" i="18"/>
  <c r="K26" i="19" l="1"/>
  <c r="L26" i="19"/>
  <c r="K27" i="19" l="1"/>
  <c r="L27" i="19"/>
  <c r="K28" i="19" l="1"/>
  <c r="L28" i="19"/>
  <c r="K29" i="19" l="1"/>
  <c r="L29" i="19"/>
  <c r="K30" i="19" l="1"/>
  <c r="L30" i="19"/>
  <c r="K31" i="19" l="1"/>
  <c r="L31" i="19"/>
  <c r="K32" i="19" l="1"/>
  <c r="L32" i="19"/>
  <c r="K33" i="19" l="1"/>
  <c r="L33" i="19"/>
  <c r="K34" i="19" l="1"/>
  <c r="L34" i="19"/>
  <c r="K35" i="19" l="1"/>
  <c r="L35" i="19"/>
  <c r="K36" i="19" l="1"/>
  <c r="L36" i="19"/>
  <c r="K37" i="19" l="1"/>
  <c r="L37" i="19"/>
  <c r="K38" i="19" l="1"/>
  <c r="L38" i="19"/>
  <c r="K39" i="19" l="1"/>
  <c r="L39" i="19"/>
  <c r="K40" i="19" l="1"/>
  <c r="L40" i="19"/>
  <c r="K41" i="19" l="1"/>
  <c r="L41" i="19"/>
  <c r="K42" i="19" l="1"/>
  <c r="L42" i="19"/>
  <c r="K43" i="19" l="1"/>
  <c r="L43" i="19"/>
  <c r="K44" i="19" l="1"/>
  <c r="L44" i="19"/>
  <c r="K45" i="19" l="1"/>
  <c r="L45" i="19"/>
  <c r="K46" i="19" l="1"/>
  <c r="L46" i="19"/>
  <c r="K47" i="19" l="1"/>
  <c r="L47" i="19"/>
  <c r="K48" i="19" l="1"/>
  <c r="L48" i="19"/>
  <c r="K49" i="19" l="1"/>
  <c r="L49" i="19"/>
  <c r="K50" i="19" l="1"/>
  <c r="L50" i="19"/>
  <c r="K51" i="19" l="1"/>
  <c r="L51" i="19"/>
  <c r="K52" i="19" l="1"/>
  <c r="L52" i="19"/>
  <c r="K53" i="19" l="1"/>
  <c r="L53" i="19"/>
  <c r="K54" i="19" l="1"/>
  <c r="L54" i="19"/>
  <c r="K55" i="19" l="1"/>
  <c r="L55" i="19"/>
  <c r="K56" i="19" l="1"/>
  <c r="L56" i="19"/>
  <c r="K57" i="19" l="1"/>
  <c r="L57" i="19"/>
  <c r="K58" i="19" l="1"/>
  <c r="L58" i="19"/>
  <c r="K59" i="19" l="1"/>
  <c r="L59" i="19"/>
  <c r="K60" i="19" l="1"/>
  <c r="L60" i="19"/>
  <c r="K61" i="19" l="1"/>
  <c r="L61" i="19"/>
  <c r="K62" i="19" l="1"/>
  <c r="L62" i="19"/>
  <c r="K63" i="19" l="1"/>
  <c r="L63" i="19"/>
  <c r="K64" i="19" l="1"/>
  <c r="L64" i="19"/>
  <c r="K65" i="19" l="1"/>
  <c r="L65" i="19"/>
  <c r="K66" i="19" l="1"/>
  <c r="O13" i="19" s="1"/>
  <c r="L66"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2" description="Connection to the 'Table2' query in the workbook." type="5" refreshedVersion="6"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<sst xmlns="http://schemas.openxmlformats.org/spreadsheetml/2006/main" count="556" uniqueCount="236">
  <si>
    <t>Your WorkSpace</t>
  </si>
  <si>
    <r>
      <rPr>
        <b/>
        <u/>
        <sz val="11"/>
        <color theme="1"/>
        <rFont val="Calibri"/>
        <family val="2"/>
        <scheme val="minor"/>
      </rPr>
      <t xml:space="preserve">Question 1
</t>
    </r>
    <r>
      <rPr>
        <b/>
        <sz val="11"/>
        <color theme="1"/>
        <rFont val="Calibri"/>
        <family val="2"/>
        <scheme val="minor"/>
      </rPr>
      <t>The weight loss of 24 candidates and days spent by them in the diet regime were observed and tabulated</t>
    </r>
    <r>
      <rPr>
        <sz val="11"/>
        <color theme="1"/>
        <rFont val="Calibri"/>
        <family val="2"/>
        <scheme val="minor"/>
      </rPr>
      <t xml:space="preserve">. </t>
    </r>
  </si>
  <si>
    <t>Sl No</t>
  </si>
  <si>
    <t>e. What is the estimate of Standard deviation of the regression model?</t>
  </si>
  <si>
    <t>g. Calculate MAD, MSD and MAPE in the line fit</t>
  </si>
  <si>
    <t>d. Find the coefficient of determination for the line fit. What does it tell you?</t>
  </si>
  <si>
    <t>Answers</t>
  </si>
  <si>
    <t>Intercept (b0)</t>
  </si>
  <si>
    <t>Slope (b1)</t>
  </si>
  <si>
    <t>Weight loss in Kg (x)</t>
  </si>
  <si>
    <t>Days Spent in diet regime (y)</t>
  </si>
  <si>
    <t>a. Find the best line fit based on Least Square method. Y = b0+b1x</t>
  </si>
  <si>
    <t>Estimated Days for 17 kg loss</t>
  </si>
  <si>
    <t>Coeff of Determination</t>
  </si>
  <si>
    <t>Std Dev of model</t>
  </si>
  <si>
    <t>MSD</t>
  </si>
  <si>
    <t>MAD</t>
  </si>
  <si>
    <t>MAPE</t>
  </si>
  <si>
    <t>CI Lower Limit</t>
  </si>
  <si>
    <t>CI Upper Limit</t>
  </si>
  <si>
    <t>January</t>
  </si>
  <si>
    <t>February</t>
  </si>
  <si>
    <t>March</t>
  </si>
  <si>
    <t>April</t>
  </si>
  <si>
    <t>May</t>
  </si>
  <si>
    <t>June</t>
  </si>
  <si>
    <t>July</t>
  </si>
  <si>
    <t>August</t>
  </si>
  <si>
    <t>September</t>
  </si>
  <si>
    <t>October</t>
  </si>
  <si>
    <t>November</t>
  </si>
  <si>
    <t>December</t>
  </si>
  <si>
    <t>Year</t>
  </si>
  <si>
    <t>Mon/Yr</t>
  </si>
  <si>
    <t>Sales</t>
  </si>
  <si>
    <t xml:space="preserve">h. Plot data and linear fit line </t>
  </si>
  <si>
    <t>Attach snapshot of Answers Cells N2 to N16</t>
  </si>
  <si>
    <t>Attach snapshot of the Plot(s)</t>
  </si>
  <si>
    <t xml:space="preserve">Attach snapshot of your workings </t>
  </si>
  <si>
    <t>For problems d to h, use the corrected entry in c (Without using regression tool in data analysis toolpack)</t>
  </si>
  <si>
    <t xml:space="preserve">Submission to include - </t>
  </si>
  <si>
    <t>f. Determine Confidence interval for slope parameter with 98% confidence</t>
  </si>
  <si>
    <t>The Sales data from 1996 to 2002 is presented to you. The data seems to have trend and seasonality. 
For this reason, a time series decomposition approach is adopted to analyze the sales variable. Cyclic component is neglected and a additive model Yt = Tt + St+ It is adopted
Develop the following
a) Trend Line equation 
b) Seasonal Index for all months Jan to Dec
c) Calculated all errors MAPE, MAD, MSE
d) Develop Seasonally Adjusted Monthly Sales
e) Forecast Seasonally Adjusted Monthly sales for first 9 months of 2002
f) How accurate are these compared to actual sales data in 2002?
g) Forecast Sales in Oct 2002
h) Show the Actual Data and Forecast data in a graph; Show seasonally adjusted data and trend line together in a separate graph</t>
  </si>
  <si>
    <t>x</t>
  </si>
  <si>
    <t>y</t>
  </si>
  <si>
    <t>xy</t>
  </si>
  <si>
    <t>SUM</t>
  </si>
  <si>
    <t>AVG</t>
  </si>
  <si>
    <r>
      <t>x</t>
    </r>
    <r>
      <rPr>
        <b/>
        <vertAlign val="superscript"/>
        <sz val="12"/>
        <color theme="1"/>
        <rFont val="Calibri"/>
        <family val="2"/>
        <scheme val="minor"/>
      </rPr>
      <t>2</t>
    </r>
  </si>
  <si>
    <r>
      <t>y</t>
    </r>
    <r>
      <rPr>
        <b/>
        <vertAlign val="superscript"/>
        <sz val="12"/>
        <color theme="1"/>
        <rFont val="Calibri"/>
        <family val="2"/>
        <scheme val="minor"/>
      </rPr>
      <t>2</t>
    </r>
  </si>
  <si>
    <t>n</t>
  </si>
  <si>
    <r>
      <t>S</t>
    </r>
    <r>
      <rPr>
        <b/>
        <vertAlign val="subscript"/>
        <sz val="12"/>
        <color theme="1"/>
        <rFont val="Calibri"/>
        <family val="2"/>
        <scheme val="minor"/>
      </rPr>
      <t>xx</t>
    </r>
    <r>
      <rPr>
        <b/>
        <sz val="12"/>
        <color theme="1"/>
        <rFont val="Calibri"/>
        <family val="2"/>
        <scheme val="minor"/>
      </rPr>
      <t xml:space="preserve"> = ∑x</t>
    </r>
    <r>
      <rPr>
        <b/>
        <vertAlign val="superscript"/>
        <sz val="12"/>
        <color theme="1"/>
        <rFont val="Calibri"/>
        <family val="2"/>
        <scheme val="minor"/>
      </rPr>
      <t>2</t>
    </r>
    <r>
      <rPr>
        <b/>
        <sz val="12"/>
        <color theme="1"/>
        <rFont val="Calibri"/>
        <family val="2"/>
        <scheme val="minor"/>
      </rPr>
      <t xml:space="preserve"> - (∑x)</t>
    </r>
    <r>
      <rPr>
        <b/>
        <vertAlign val="superscript"/>
        <sz val="12"/>
        <color theme="1"/>
        <rFont val="Calibri"/>
        <family val="2"/>
        <scheme val="minor"/>
      </rPr>
      <t>2</t>
    </r>
    <r>
      <rPr>
        <b/>
        <sz val="12"/>
        <color theme="1"/>
        <rFont val="Calibri"/>
        <family val="2"/>
        <scheme val="minor"/>
      </rPr>
      <t>/n</t>
    </r>
  </si>
  <si>
    <r>
      <t>S</t>
    </r>
    <r>
      <rPr>
        <b/>
        <vertAlign val="subscript"/>
        <sz val="12"/>
        <color theme="1"/>
        <rFont val="Calibri"/>
        <family val="2"/>
        <scheme val="minor"/>
      </rPr>
      <t>yy</t>
    </r>
    <r>
      <rPr>
        <b/>
        <sz val="12"/>
        <color theme="1"/>
        <rFont val="Calibri"/>
        <family val="2"/>
        <scheme val="minor"/>
      </rPr>
      <t xml:space="preserve"> = ∑y</t>
    </r>
    <r>
      <rPr>
        <b/>
        <vertAlign val="superscript"/>
        <sz val="12"/>
        <color theme="1"/>
        <rFont val="Calibri"/>
        <family val="2"/>
        <scheme val="minor"/>
      </rPr>
      <t>2</t>
    </r>
    <r>
      <rPr>
        <b/>
        <sz val="12"/>
        <color theme="1"/>
        <rFont val="Calibri"/>
        <family val="2"/>
        <scheme val="minor"/>
      </rPr>
      <t xml:space="preserve"> - (∑y)</t>
    </r>
    <r>
      <rPr>
        <b/>
        <vertAlign val="superscript"/>
        <sz val="12"/>
        <color theme="1"/>
        <rFont val="Calibri"/>
        <family val="2"/>
        <scheme val="minor"/>
      </rPr>
      <t>2</t>
    </r>
    <r>
      <rPr>
        <b/>
        <sz val="12"/>
        <color theme="1"/>
        <rFont val="Calibri"/>
        <family val="2"/>
        <scheme val="minor"/>
      </rPr>
      <t>/n</t>
    </r>
  </si>
  <si>
    <r>
      <t>Slope (β1) = S</t>
    </r>
    <r>
      <rPr>
        <b/>
        <vertAlign val="subscript"/>
        <sz val="12"/>
        <color theme="1"/>
        <rFont val="Calibri"/>
        <family val="2"/>
        <scheme val="minor"/>
      </rPr>
      <t>xy</t>
    </r>
    <r>
      <rPr>
        <b/>
        <sz val="12"/>
        <color theme="1"/>
        <rFont val="Calibri"/>
        <family val="2"/>
        <scheme val="minor"/>
      </rPr>
      <t>/S</t>
    </r>
    <r>
      <rPr>
        <b/>
        <vertAlign val="subscript"/>
        <sz val="12"/>
        <color theme="1"/>
        <rFont val="Calibri"/>
        <family val="2"/>
        <scheme val="minor"/>
      </rPr>
      <t>xx</t>
    </r>
  </si>
  <si>
    <r>
      <t>Intercept (</t>
    </r>
    <r>
      <rPr>
        <b/>
        <sz val="12"/>
        <color theme="1"/>
        <rFont val="Calibri"/>
        <family val="2"/>
      </rPr>
      <t>β</t>
    </r>
    <r>
      <rPr>
        <b/>
        <sz val="12"/>
        <color theme="1"/>
        <rFont val="Calibri"/>
        <family val="2"/>
        <scheme val="minor"/>
      </rPr>
      <t>0) =          (∑y - β1∑x)/n</t>
    </r>
  </si>
  <si>
    <r>
      <t>S</t>
    </r>
    <r>
      <rPr>
        <b/>
        <vertAlign val="subscript"/>
        <sz val="12"/>
        <color theme="1"/>
        <rFont val="Calibri"/>
        <family val="2"/>
        <scheme val="minor"/>
      </rPr>
      <t>xy</t>
    </r>
    <r>
      <rPr>
        <b/>
        <sz val="12"/>
        <color theme="1"/>
        <rFont val="Calibri"/>
        <family val="2"/>
        <scheme val="minor"/>
      </rPr>
      <t xml:space="preserve"> = </t>
    </r>
    <r>
      <rPr>
        <b/>
        <sz val="12"/>
        <color theme="1"/>
        <rFont val="Calibri"/>
        <family val="2"/>
      </rPr>
      <t>∑xy - (∑x)(∑y)/n</t>
    </r>
  </si>
  <si>
    <t>given x</t>
  </si>
  <si>
    <r>
      <t>SSE = S</t>
    </r>
    <r>
      <rPr>
        <b/>
        <vertAlign val="subscript"/>
        <sz val="12"/>
        <color theme="1"/>
        <rFont val="Calibri"/>
        <family val="2"/>
        <scheme val="minor"/>
      </rPr>
      <t>yy</t>
    </r>
    <r>
      <rPr>
        <b/>
        <sz val="12"/>
        <color theme="1"/>
        <rFont val="Calibri"/>
        <family val="2"/>
        <scheme val="minor"/>
      </rPr>
      <t xml:space="preserve"> - β1*S</t>
    </r>
    <r>
      <rPr>
        <b/>
        <vertAlign val="subscript"/>
        <sz val="12"/>
        <color theme="1"/>
        <rFont val="Calibri"/>
        <family val="2"/>
        <scheme val="minor"/>
      </rPr>
      <t>xy</t>
    </r>
  </si>
  <si>
    <r>
      <t>SST = S</t>
    </r>
    <r>
      <rPr>
        <b/>
        <vertAlign val="subscript"/>
        <sz val="12"/>
        <color theme="1"/>
        <rFont val="Calibri"/>
        <family val="2"/>
        <scheme val="minor"/>
      </rPr>
      <t>yy</t>
    </r>
  </si>
  <si>
    <r>
      <t>Coefficient of Determination,                           r</t>
    </r>
    <r>
      <rPr>
        <b/>
        <vertAlign val="superscript"/>
        <sz val="12"/>
        <color theme="1"/>
        <rFont val="Calibri"/>
        <family val="2"/>
        <scheme val="minor"/>
      </rPr>
      <t>2</t>
    </r>
    <r>
      <rPr>
        <b/>
        <sz val="12"/>
        <color theme="1"/>
        <rFont val="Calibri"/>
        <family val="2"/>
        <scheme val="minor"/>
      </rPr>
      <t xml:space="preserve"> = 1 - SSE/SST</t>
    </r>
  </si>
  <si>
    <t>Y' = β0 + β1*x</t>
  </si>
  <si>
    <r>
      <t>Error</t>
    </r>
    <r>
      <rPr>
        <vertAlign val="superscript"/>
        <sz val="11"/>
        <color theme="1"/>
        <rFont val="Calibri"/>
        <family val="2"/>
        <scheme val="minor"/>
      </rPr>
      <t>2</t>
    </r>
  </si>
  <si>
    <r>
      <t>Error</t>
    </r>
    <r>
      <rPr>
        <b/>
        <vertAlign val="superscript"/>
        <sz val="12"/>
        <color theme="1"/>
        <rFont val="Calibri"/>
        <family val="2"/>
        <scheme val="minor"/>
      </rPr>
      <t>2</t>
    </r>
  </si>
  <si>
    <r>
      <t xml:space="preserve">Std Dev, </t>
    </r>
    <r>
      <rPr>
        <b/>
        <sz val="12"/>
        <color theme="1"/>
        <rFont val="Calibri"/>
        <family val="2"/>
      </rPr>
      <t>σ</t>
    </r>
    <r>
      <rPr>
        <b/>
        <vertAlign val="superscript"/>
        <sz val="12"/>
        <color theme="1"/>
        <rFont val="Calibri"/>
        <family val="2"/>
      </rPr>
      <t>2</t>
    </r>
    <r>
      <rPr>
        <b/>
        <sz val="12"/>
        <color theme="1"/>
        <rFont val="Calibri"/>
        <family val="2"/>
        <scheme val="minor"/>
      </rPr>
      <t xml:space="preserve"> = SSE/n-2</t>
    </r>
  </si>
  <si>
    <t>|y-y'/y|</t>
  </si>
  <si>
    <t>Error = |y-y'|</t>
  </si>
  <si>
    <t xml:space="preserve">The coeficient of determination, is interpreted as the proportion of observed y variation that can be explained by the simple linear regression model (attributed to an approximate linear relationship between y and x).  This correlation, known as the "goodness of fit," is represented as a value between 0.0 and 1.0 (higher the better). Here, the LR model is successful in explaining 91% variations in days spent by the weight loss. </t>
  </si>
  <si>
    <r>
      <t>β1 +- t</t>
    </r>
    <r>
      <rPr>
        <b/>
        <vertAlign val="subscript"/>
        <sz val="12"/>
        <color theme="1"/>
        <rFont val="Calibri"/>
        <family val="2"/>
        <scheme val="minor"/>
      </rPr>
      <t>ά/2,n-2</t>
    </r>
    <r>
      <rPr>
        <b/>
        <sz val="12"/>
        <color theme="1"/>
        <rFont val="Calibri"/>
        <family val="2"/>
        <scheme val="minor"/>
      </rPr>
      <t xml:space="preserve"> * </t>
    </r>
    <r>
      <rPr>
        <b/>
        <sz val="12"/>
        <color theme="1"/>
        <rFont val="Calibri"/>
        <family val="2"/>
      </rPr>
      <t>√(</t>
    </r>
    <r>
      <rPr>
        <b/>
        <sz val="12"/>
        <color theme="1"/>
        <rFont val="Calibri"/>
        <family val="2"/>
        <scheme val="minor"/>
      </rPr>
      <t>σ</t>
    </r>
    <r>
      <rPr>
        <b/>
        <vertAlign val="superscript"/>
        <sz val="12"/>
        <color theme="1"/>
        <rFont val="Calibri"/>
        <family val="2"/>
        <scheme val="minor"/>
      </rPr>
      <t>2</t>
    </r>
    <r>
      <rPr>
        <b/>
        <sz val="12"/>
        <color theme="1"/>
        <rFont val="Calibri"/>
        <family val="2"/>
        <scheme val="minor"/>
      </rPr>
      <t>/S</t>
    </r>
    <r>
      <rPr>
        <b/>
        <vertAlign val="subscript"/>
        <sz val="12"/>
        <color theme="1"/>
        <rFont val="Calibri"/>
        <family val="2"/>
        <scheme val="minor"/>
      </rPr>
      <t>xx</t>
    </r>
    <r>
      <rPr>
        <b/>
        <sz val="12"/>
        <color theme="1"/>
        <rFont val="Calibri"/>
        <family val="2"/>
        <scheme val="minor"/>
      </rPr>
      <t>)</t>
    </r>
  </si>
  <si>
    <r>
      <t xml:space="preserve"> 100(1-</t>
    </r>
    <r>
      <rPr>
        <b/>
        <sz val="12"/>
        <color theme="1"/>
        <rFont val="Calibri"/>
        <family val="2"/>
      </rPr>
      <t>ά</t>
    </r>
    <r>
      <rPr>
        <b/>
        <sz val="12"/>
        <color theme="1"/>
        <rFont val="Calibri"/>
        <family val="2"/>
        <scheme val="minor"/>
      </rPr>
      <t xml:space="preserve">)% </t>
    </r>
    <r>
      <rPr>
        <b/>
        <sz val="11"/>
        <color theme="1"/>
        <rFont val="Calibri"/>
        <family val="2"/>
        <scheme val="minor"/>
      </rPr>
      <t>Confidence Interval</t>
    </r>
  </si>
  <si>
    <r>
      <t>Critical value , t</t>
    </r>
    <r>
      <rPr>
        <b/>
        <vertAlign val="subscript"/>
        <sz val="12"/>
        <color theme="1"/>
        <rFont val="Calibri"/>
        <family val="2"/>
        <scheme val="minor"/>
      </rPr>
      <t>0.01,22</t>
    </r>
  </si>
  <si>
    <t>Lower</t>
  </si>
  <si>
    <t>Upper</t>
  </si>
  <si>
    <t>for given 98%, ά=0.02, n=24</t>
  </si>
  <si>
    <t>from t-distribution Table</t>
  </si>
  <si>
    <r>
      <t>Mean squared deviation                (MSD) = ∑|y-y'|</t>
    </r>
    <r>
      <rPr>
        <b/>
        <vertAlign val="superscript"/>
        <sz val="12"/>
        <color theme="1"/>
        <rFont val="Calibri"/>
        <family val="2"/>
        <scheme val="minor"/>
      </rPr>
      <t>2</t>
    </r>
    <r>
      <rPr>
        <b/>
        <sz val="12"/>
        <color theme="1"/>
        <rFont val="Calibri"/>
        <family val="2"/>
        <scheme val="minor"/>
      </rPr>
      <t xml:space="preserve"> / n </t>
    </r>
  </si>
  <si>
    <t>Mean absolute deviation              (MAD) = ∑ |y-y'| / n</t>
  </si>
  <si>
    <t>Mean absolute percentage error (MAPE) = ∑|(y-y')/y| /n</t>
  </si>
  <si>
    <t>Seasonlity Index</t>
  </si>
  <si>
    <t>Month</t>
  </si>
  <si>
    <t>Average Sales</t>
  </si>
  <si>
    <t>Y-Intercept</t>
  </si>
  <si>
    <t>Slope</t>
  </si>
  <si>
    <t>Actual-Forecasted/Actual</t>
  </si>
  <si>
    <t>Abs Error</t>
  </si>
  <si>
    <t>Seasonal Forecast with Trend</t>
  </si>
  <si>
    <t>Trend Sales</t>
  </si>
  <si>
    <t>Column1</t>
  </si>
  <si>
    <t>Column2</t>
  </si>
  <si>
    <t>Column3</t>
  </si>
  <si>
    <t>Index</t>
  </si>
  <si>
    <t>12-point centred moving Total</t>
  </si>
  <si>
    <t>Grand Mean</t>
  </si>
  <si>
    <t>SI</t>
  </si>
  <si>
    <t>12-point centred Avg</t>
  </si>
  <si>
    <t>Trend</t>
  </si>
  <si>
    <t>Last</t>
  </si>
  <si>
    <t>First</t>
  </si>
  <si>
    <t>Change</t>
  </si>
  <si>
    <t>Avg Change</t>
  </si>
  <si>
    <t>Trend variations</t>
  </si>
  <si>
    <t>Seasonal Index</t>
  </si>
  <si>
    <t>Sales (Y)</t>
  </si>
  <si>
    <r>
      <t>|Y-Y</t>
    </r>
    <r>
      <rPr>
        <b/>
        <vertAlign val="subscript"/>
        <sz val="11"/>
        <color theme="0"/>
        <rFont val="Calibri"/>
        <family val="2"/>
        <scheme val="minor"/>
      </rPr>
      <t>t</t>
    </r>
    <r>
      <rPr>
        <b/>
        <sz val="11"/>
        <color theme="0"/>
        <rFont val="Calibri"/>
        <family val="2"/>
        <scheme val="minor"/>
      </rPr>
      <t>|</t>
    </r>
  </si>
  <si>
    <r>
      <t>|Y-Y</t>
    </r>
    <r>
      <rPr>
        <b/>
        <vertAlign val="subscript"/>
        <sz val="11"/>
        <color theme="0"/>
        <rFont val="Calibri"/>
        <family val="2"/>
        <scheme val="minor"/>
      </rPr>
      <t>t</t>
    </r>
    <r>
      <rPr>
        <b/>
        <sz val="11"/>
        <color theme="0"/>
        <rFont val="Calibri"/>
        <family val="2"/>
        <scheme val="minor"/>
      </rPr>
      <t>|</t>
    </r>
    <r>
      <rPr>
        <b/>
        <vertAlign val="superscript"/>
        <sz val="11"/>
        <color theme="0"/>
        <rFont val="Calibri"/>
        <family val="2"/>
        <scheme val="minor"/>
      </rPr>
      <t>2</t>
    </r>
  </si>
  <si>
    <r>
      <t>|Y-Y</t>
    </r>
    <r>
      <rPr>
        <b/>
        <vertAlign val="subscript"/>
        <sz val="11"/>
        <color theme="0"/>
        <rFont val="Calibri"/>
        <family val="2"/>
        <scheme val="minor"/>
      </rPr>
      <t>t</t>
    </r>
    <r>
      <rPr>
        <b/>
        <sz val="11"/>
        <color theme="0"/>
        <rFont val="Calibri"/>
        <family val="2"/>
        <scheme val="minor"/>
      </rPr>
      <t>/Y|</t>
    </r>
  </si>
  <si>
    <r>
      <t>Forecast   Y</t>
    </r>
    <r>
      <rPr>
        <b/>
        <vertAlign val="subscript"/>
        <sz val="11"/>
        <color rgb="FFFFFF00"/>
        <rFont val="Calibri"/>
        <family val="2"/>
        <scheme val="minor"/>
      </rPr>
      <t>t</t>
    </r>
    <r>
      <rPr>
        <b/>
        <sz val="11"/>
        <color rgb="FFFFFF00"/>
        <rFont val="Calibri"/>
        <family val="2"/>
        <scheme val="minor"/>
      </rPr>
      <t xml:space="preserve"> = Tt + St+ It</t>
    </r>
  </si>
  <si>
    <t>2002 data is around 99% accurate</t>
  </si>
  <si>
    <t>Res Err</t>
  </si>
  <si>
    <t>Time</t>
  </si>
  <si>
    <t>Diff</t>
  </si>
  <si>
    <t>Diff Lag1</t>
  </si>
  <si>
    <t>Diff Lag2</t>
  </si>
  <si>
    <t>Diff Lag3</t>
  </si>
  <si>
    <t>Diff Lag4</t>
  </si>
  <si>
    <t>Diff Lag5</t>
  </si>
  <si>
    <t>Diff Lag6</t>
  </si>
  <si>
    <t>AR Forecast</t>
  </si>
  <si>
    <t>MA Forecast</t>
  </si>
  <si>
    <t>N</t>
  </si>
  <si>
    <t>AR Coeff</t>
  </si>
  <si>
    <t>Mean</t>
  </si>
  <si>
    <t>Theta1</t>
  </si>
  <si>
    <t>S2</t>
  </si>
  <si>
    <t>MSE</t>
  </si>
  <si>
    <t>Intercept</t>
  </si>
  <si>
    <t>Observation</t>
  </si>
  <si>
    <t>Force</t>
  </si>
  <si>
    <t>Power</t>
  </si>
  <si>
    <t>Temperature</t>
  </si>
  <si>
    <t>Strength</t>
  </si>
  <si>
    <t>Y-estm</t>
  </si>
  <si>
    <t>b0</t>
  </si>
  <si>
    <t>b1</t>
  </si>
  <si>
    <t>b2</t>
  </si>
  <si>
    <t>b3</t>
  </si>
  <si>
    <t>b4</t>
  </si>
  <si>
    <t>Coeff</t>
  </si>
  <si>
    <t>SE</t>
  </si>
  <si>
    <t>R^2/Std_est</t>
  </si>
  <si>
    <t>F/df</t>
  </si>
  <si>
    <t>SS</t>
  </si>
  <si>
    <t>SSR/SSE</t>
  </si>
  <si>
    <t>SUMMARY OUTPUT</t>
  </si>
  <si>
    <t>Regression Statistics</t>
  </si>
  <si>
    <t>Multiple R</t>
  </si>
  <si>
    <t>R Square</t>
  </si>
  <si>
    <t>Adjusted R Square</t>
  </si>
  <si>
    <t>Standard Error</t>
  </si>
  <si>
    <t>Observations</t>
  </si>
  <si>
    <t>ANOVA</t>
  </si>
  <si>
    <t>Regression</t>
  </si>
  <si>
    <t>Residual</t>
  </si>
  <si>
    <t>Total</t>
  </si>
  <si>
    <t>df</t>
  </si>
  <si>
    <t>MS</t>
  </si>
  <si>
    <t>F</t>
  </si>
  <si>
    <t>Significance F</t>
  </si>
  <si>
    <t>Coefficients</t>
  </si>
  <si>
    <t>t Stat</t>
  </si>
  <si>
    <t>P-value</t>
  </si>
  <si>
    <t>Lower 95%</t>
  </si>
  <si>
    <t>Upper 95%</t>
  </si>
  <si>
    <t>Lower 95.0%</t>
  </si>
  <si>
    <t>Upper 95.0%</t>
  </si>
  <si>
    <t>RESIDUAL OUTPUT</t>
  </si>
  <si>
    <t>Residuals</t>
  </si>
  <si>
    <t>PROBABILITY OUTPUT</t>
  </si>
  <si>
    <t>Percentile</t>
  </si>
  <si>
    <t>y-diff</t>
  </si>
  <si>
    <t>y-diff/y</t>
  </si>
  <si>
    <t>Time t</t>
  </si>
  <si>
    <t>ACF</t>
  </si>
  <si>
    <t>r1</t>
  </si>
  <si>
    <t>r2</t>
  </si>
  <si>
    <t>r3</t>
  </si>
  <si>
    <t>r4</t>
  </si>
  <si>
    <t>r5</t>
  </si>
  <si>
    <t>r6</t>
  </si>
  <si>
    <t>r7</t>
  </si>
  <si>
    <t>ACF Coeff</t>
  </si>
  <si>
    <t>Yt-1</t>
  </si>
  <si>
    <t>Yt-2</t>
  </si>
  <si>
    <t>Yt-3</t>
  </si>
  <si>
    <t>Yt-Y^</t>
  </si>
  <si>
    <t>SUM Avg Y^</t>
  </si>
  <si>
    <t>Yt-1-Y^</t>
  </si>
  <si>
    <t>Yt-3-Y^</t>
  </si>
  <si>
    <t>Yt-2-Y^</t>
  </si>
  <si>
    <t>ACF Coeff2</t>
  </si>
  <si>
    <t>r8</t>
  </si>
  <si>
    <t>r9</t>
  </si>
  <si>
    <t>r10</t>
  </si>
  <si>
    <t>Sum Error</t>
  </si>
  <si>
    <t>Confidence</t>
  </si>
  <si>
    <t>Alpha</t>
  </si>
  <si>
    <t>Alpha/2</t>
  </si>
  <si>
    <t>t-alpha/2</t>
  </si>
  <si>
    <t>LowerLimit</t>
  </si>
  <si>
    <t>UpperLimit</t>
  </si>
  <si>
    <t>Within Error</t>
  </si>
  <si>
    <t>T-statistic</t>
  </si>
  <si>
    <t>Reject H0</t>
  </si>
  <si>
    <t>Error2</t>
  </si>
  <si>
    <t>Sum(prev)</t>
  </si>
  <si>
    <t>Qstat</t>
  </si>
  <si>
    <t>Yt-Y^2</t>
  </si>
  <si>
    <t>Original Yt</t>
  </si>
  <si>
    <t>Chi-sqr comp</t>
  </si>
  <si>
    <t>Quarter</t>
  </si>
  <si>
    <t>SCI</t>
  </si>
  <si>
    <t>Seasonality</t>
  </si>
  <si>
    <t>SeasonalityCorr</t>
  </si>
  <si>
    <t>CI</t>
  </si>
  <si>
    <t>C</t>
  </si>
  <si>
    <t>I</t>
  </si>
  <si>
    <t>MultForecast</t>
  </si>
  <si>
    <t>Error</t>
  </si>
  <si>
    <t>t</t>
  </si>
  <si>
    <t>Yt</t>
  </si>
  <si>
    <t>Lt</t>
  </si>
  <si>
    <t>Tt</t>
  </si>
  <si>
    <t>Y^t+p</t>
  </si>
  <si>
    <t>et</t>
  </si>
  <si>
    <t>et^2</t>
  </si>
  <si>
    <t>ABSOLUTE PERCENT ERROR</t>
  </si>
  <si>
    <t>ALPHA</t>
  </si>
  <si>
    <t>BETA</t>
  </si>
  <si>
    <t xml:space="preserve">Time </t>
  </si>
  <si>
    <t>Time^2</t>
  </si>
  <si>
    <t>Trend Quadratic</t>
  </si>
  <si>
    <t xml:space="preserve">Seasonality correction </t>
  </si>
  <si>
    <t>Multidecomp fit</t>
  </si>
  <si>
    <t>RMSE</t>
  </si>
  <si>
    <t xml:space="preserve">Quadratic </t>
  </si>
  <si>
    <t>X Variable 1</t>
  </si>
  <si>
    <t>Predicted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</si>
</sst>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00"/>
    <numFmt numFmtId="165" formatCode="0.00000"/>
    <numFmt numFmtId="166" formatCode="0.0%"/>
    <numFmt numFmtId="167" formatCode="0.0000"/>
    <numFmt numFmtId="168" formatCode="0.0"/>
  </numFmts>
  <fonts count="21"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1"/>
      <color theme="1"/>
      <name val="Calibri"/>
      <family val="2"/>
      <scheme val="minor"/>
    </font>
    <font>
      <vertAlign val="superscrip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b/>
      <vertAlign val="subscript"/>
      <sz val="12"/>
      <color theme="1"/>
      <name val="Calibri"/>
      <family val="2"/>
      <scheme val="minor"/>
    </font>
    <font>
      <b/>
      <sz val="12"/>
      <color theme="1"/>
      <name val="Calibri"/>
      <family val="2"/>
    </font>
    <font>
      <b/>
      <vertAlign val="superscript"/>
      <sz val="12"/>
      <color theme="1"/>
      <name val="Calibri"/>
      <family val="2"/>
    </font>
    <font>
      <b/>
      <sz val="11"/>
      <color theme="0"/>
      <name val="Calibri"/>
      <family val="2"/>
      <scheme val="minor"/>
    </font>
    <font>
      <sz val="11"/>
      <color rgb="FFFF0000"/>
      <name val="Calibri"/>
      <family val="2"/>
      <scheme val="minor"/>
    </font>
    <font>
      <b/>
      <vertAlign val="superscript"/>
      <sz val="11"/>
      <color theme="0"/>
      <name val="Calibri"/>
      <family val="2"/>
      <scheme val="minor"/>
    </font>
    <font>
      <b/>
      <sz val="10"/>
      <color theme="0"/>
      <name val="Calibri"/>
      <family val="2"/>
      <scheme val="minor"/>
    </font>
    <font>
      <b/>
      <vertAlign val="subscript"/>
      <sz val="11"/>
      <color theme="0"/>
      <name val="Calibri"/>
      <family val="2"/>
      <scheme val="minor"/>
    </font>
    <font>
      <b/>
      <sz val="11"/>
      <color rgb="FFFFFF00"/>
      <name val="Calibri"/>
      <family val="2"/>
      <scheme val="minor"/>
    </font>
    <font>
      <b/>
      <vertAlign val="subscript"/>
      <sz val="11"/>
      <color rgb="FFFFFF00"/>
      <name val="Calibri"/>
      <family val="2"/>
      <scheme val="minor"/>
    </font>
    <font>
      <sz val="8"/>
      <name val="Calibri"/>
      <family val="2"/>
      <scheme val="minor"/>
    </font>
    <font>
      <sz val="11"/>
      <color theme="4" tint="-0.249977111117893"/>
      <name val="Calibri"/>
      <family val="2"/>
      <scheme val="minor"/>
    </font>
  </fonts>
  <fills count="26">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59999389629810485"/>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5"/>
        <bgColor theme="5"/>
      </patternFill>
    </fill>
    <fill>
      <patternFill patternType="solid">
        <fgColor theme="5" tint="0.39997558519241921"/>
        <bgColor indexed="64"/>
      </patternFill>
    </fill>
    <fill>
      <patternFill patternType="solid">
        <fgColor theme="8" tint="0.59999389629810485"/>
        <bgColor theme="8" tint="0.59999389629810485"/>
      </patternFill>
    </fill>
    <fill>
      <patternFill patternType="solid">
        <fgColor theme="2" tint="-0.249977111117893"/>
        <bgColor indexed="64"/>
      </patternFill>
    </fill>
    <fill>
      <patternFill patternType="solid">
        <fgColor theme="9" tint="0.79998168889431442"/>
        <bgColor theme="4" tint="0.79998168889431442"/>
      </patternFill>
    </fill>
    <fill>
      <patternFill patternType="solid">
        <fgColor theme="9" tint="0.79998168889431442"/>
        <bgColor indexed="64"/>
      </patternFill>
    </fill>
  </fills>
  <borders count="7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theme="0"/>
      </left>
      <right style="thin">
        <color theme="0"/>
      </right>
      <top style="thin">
        <color theme="0"/>
      </top>
      <bottom style="thin">
        <color theme="0"/>
      </bottom>
      <diagonal/>
    </border>
    <border>
      <left/>
      <right style="thin">
        <color auto="1"/>
      </right>
      <top style="medium">
        <color auto="1"/>
      </top>
      <bottom style="thin">
        <color auto="1"/>
      </bottom>
      <diagonal/>
    </border>
    <border>
      <left style="thin">
        <color auto="1"/>
      </left>
      <right style="thin">
        <color auto="1"/>
      </right>
      <top style="medium">
        <color indexed="64"/>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indexed="64"/>
      </right>
      <top style="medium">
        <color indexed="64"/>
      </top>
      <bottom/>
      <diagonal/>
    </border>
    <border>
      <left style="medium">
        <color auto="1"/>
      </left>
      <right style="medium">
        <color indexed="64"/>
      </right>
      <top style="medium">
        <color indexed="64"/>
      </top>
      <bottom style="thin">
        <color auto="1"/>
      </bottom>
      <diagonal/>
    </border>
    <border>
      <left style="medium">
        <color auto="1"/>
      </left>
      <right style="medium">
        <color indexed="64"/>
      </right>
      <top style="thin">
        <color auto="1"/>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indexed="64"/>
      </left>
      <right/>
      <top style="medium">
        <color indexed="64"/>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style="medium">
        <color auto="1"/>
      </top>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medium">
        <color indexed="64"/>
      </right>
      <top/>
      <bottom style="medium">
        <color indexed="64"/>
      </bottom>
      <diagonal/>
    </border>
    <border>
      <left style="thin">
        <color auto="1"/>
      </left>
      <right/>
      <top style="thin">
        <color auto="1"/>
      </top>
      <bottom style="thin">
        <color auto="1"/>
      </bottom>
      <diagonal/>
    </border>
    <border>
      <left style="medium">
        <color indexed="64"/>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medium">
        <color auto="1"/>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auto="1"/>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auto="1"/>
      </left>
      <right/>
      <top style="thin">
        <color auto="1"/>
      </top>
      <bottom/>
      <diagonal/>
    </border>
    <border>
      <left/>
      <right style="thin">
        <color auto="1"/>
      </right>
      <top style="thin">
        <color auto="1"/>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style="medium">
        <color indexed="64"/>
      </right>
      <top/>
      <bottom style="thin">
        <color theme="9" tint="0.39997558519241921"/>
      </bottom>
      <diagonal/>
    </border>
    <border>
      <left/>
      <right style="medium">
        <color indexed="64"/>
      </right>
      <top style="thin">
        <color theme="9" tint="0.39997558519241921"/>
      </top>
      <bottom style="thin">
        <color theme="9" tint="0.39997558519241921"/>
      </bottom>
      <diagonal/>
    </border>
    <border>
      <left style="thin">
        <color auto="1"/>
      </left>
      <right/>
      <top/>
      <bottom style="medium">
        <color auto="1"/>
      </bottom>
      <diagonal/>
    </border>
    <border>
      <left/>
      <right/>
      <top style="thin">
        <color theme="9" tint="0.39997558519241921"/>
      </top>
      <bottom/>
      <diagonal/>
    </border>
    <border>
      <left/>
      <right style="medium">
        <color indexed="64"/>
      </right>
      <top style="thin">
        <color theme="9" tint="0.39997558519241921"/>
      </top>
      <bottom/>
      <diagonal/>
    </border>
    <border>
      <left style="thin">
        <color theme="0"/>
      </left>
      <right style="thin">
        <color theme="0"/>
      </right>
      <top style="thin">
        <color theme="0"/>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0"/>
      </left>
      <right/>
      <top style="medium">
        <color indexed="64"/>
      </top>
      <bottom style="medium">
        <color indexed="64"/>
      </bottom>
      <diagonal/>
    </border>
    <border>
      <left/>
      <right/>
      <top/>
      <bottom style="thin">
        <color theme="4" tint="0.39997558519241921"/>
      </bottom>
      <diagonal/>
    </border>
    <border>
      <left/>
      <right/>
      <top style="medium">
        <color indexed="64"/>
      </top>
      <bottom style="thin">
        <color auto="1"/>
      </bottom>
      <diagonal/>
    </border>
    <border>
      <left/>
      <right style="thin">
        <color theme="0"/>
      </right>
      <top style="thin">
        <color theme="0"/>
      </top>
      <bottom/>
      <diagonal/>
    </border>
    <border>
      <left/>
      <right/>
      <top style="thin">
        <color theme="4"/>
      </top>
      <bottom style="thin">
        <color theme="4"/>
      </bottom>
      <diagonal/>
    </border>
    <border>
      <left/>
      <right/>
      <top/>
      <bottom style="thin">
        <color theme="4"/>
      </bottom>
      <diagonal/>
    </border>
  </borders>
  <cellStyleXfs count="2">
    <xf numFmtId="0" fontId="0" fillId="0" borderId="0"/>
    <xf numFmtId="9" fontId="4" fillId="0" borderId="0" applyFont="0" applyFill="0" applyBorder="0" applyAlignment="0" applyProtection="0"/>
  </cellStyleXfs>
  <cellXfs count="392">
    <xf numFmtId="0" fontId="0" fillId="0" borderId="0" xfId="0"/>
    <xf numFmtId="0" fontId="0" fillId="0" borderId="1" xfId="0" applyBorder="1" applyAlignment="1" applyProtection="1">
      <protection locked="0"/>
    </xf>
    <xf numFmtId="0" fontId="0" fillId="0" borderId="5" xfId="0" applyBorder="1" applyAlignment="1" applyProtection="1">
      <protection locked="0"/>
    </xf>
    <xf numFmtId="0" fontId="0" fillId="0" borderId="0" xfId="0" applyProtection="1">
      <protection hidden="1"/>
    </xf>
    <xf numFmtId="0" fontId="0" fillId="0" borderId="0" xfId="0" applyBorder="1" applyProtection="1">
      <protection hidden="1"/>
    </xf>
    <xf numFmtId="0" fontId="0" fillId="0" borderId="8" xfId="0" applyBorder="1" applyAlignment="1" applyProtection="1">
      <alignment horizontal="center"/>
      <protection hidden="1"/>
    </xf>
    <xf numFmtId="0" fontId="0" fillId="0" borderId="5"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1" fontId="0" fillId="0" borderId="9" xfId="0" applyNumberFormat="1" applyBorder="1" applyAlignment="1" applyProtection="1">
      <alignment horizontal="center"/>
      <protection hidden="1"/>
    </xf>
    <xf numFmtId="0" fontId="0" fillId="0" borderId="1" xfId="0" applyBorder="1" applyAlignment="1" applyProtection="1">
      <alignment horizontal="center"/>
      <protection hidden="1"/>
    </xf>
    <xf numFmtId="0" fontId="0" fillId="0" borderId="6" xfId="0" applyBorder="1" applyProtection="1">
      <protection hidden="1"/>
    </xf>
    <xf numFmtId="0" fontId="0" fillId="0" borderId="0" xfId="0" applyBorder="1" applyAlignment="1" applyProtection="1">
      <alignment horizontal="left" vertical="center" wrapText="1"/>
    </xf>
    <xf numFmtId="0" fontId="0" fillId="2" borderId="0" xfId="0" applyFill="1" applyBorder="1" applyProtection="1">
      <protection hidden="1"/>
    </xf>
    <xf numFmtId="0" fontId="0" fillId="2" borderId="0" xfId="0" applyFill="1" applyBorder="1" applyAlignment="1" applyProtection="1">
      <alignment horizontal="center"/>
      <protection hidden="1"/>
    </xf>
    <xf numFmtId="0" fontId="0" fillId="2" borderId="0" xfId="0" applyFill="1" applyBorder="1" applyAlignment="1" applyProtection="1">
      <alignment horizontal="center"/>
      <protection locked="0"/>
    </xf>
    <xf numFmtId="0" fontId="0" fillId="2" borderId="0" xfId="0" applyFill="1" applyBorder="1" applyAlignment="1" applyProtection="1">
      <alignment horizontal="center" wrapText="1"/>
      <protection hidden="1"/>
    </xf>
    <xf numFmtId="0" fontId="1" fillId="0" borderId="0" xfId="0" applyFont="1" applyBorder="1" applyAlignment="1" applyProtection="1">
      <protection hidden="1"/>
    </xf>
    <xf numFmtId="0" fontId="0" fillId="0" borderId="14" xfId="0" applyNumberFormat="1" applyBorder="1" applyAlignment="1" applyProtection="1">
      <alignment horizontal="center"/>
      <protection hidden="1"/>
    </xf>
    <xf numFmtId="0" fontId="0" fillId="0" borderId="18" xfId="0" applyBorder="1" applyAlignment="1" applyProtection="1">
      <alignment horizontal="center"/>
      <protection hidden="1"/>
    </xf>
    <xf numFmtId="1" fontId="0" fillId="0" borderId="15" xfId="0" applyNumberFormat="1" applyBorder="1" applyAlignment="1" applyProtection="1">
      <alignment horizontal="center"/>
      <protection hidden="1"/>
    </xf>
    <xf numFmtId="0" fontId="1" fillId="0" borderId="22" xfId="0" applyFont="1" applyBorder="1" applyAlignment="1" applyProtection="1">
      <alignment horizontal="center" vertical="center"/>
      <protection hidden="1"/>
    </xf>
    <xf numFmtId="0" fontId="1" fillId="0" borderId="16" xfId="0" applyFont="1" applyBorder="1" applyAlignment="1" applyProtection="1">
      <alignment horizontal="center" vertical="center" wrapText="1"/>
    </xf>
    <xf numFmtId="0" fontId="1" fillId="0" borderId="17" xfId="0" applyFont="1" applyBorder="1" applyAlignment="1" applyProtection="1">
      <alignment horizontal="center" vertical="center" wrapText="1"/>
    </xf>
    <xf numFmtId="0" fontId="0" fillId="0" borderId="15" xfId="0" applyBorder="1" applyProtection="1">
      <protection hidden="1"/>
    </xf>
    <xf numFmtId="0" fontId="0" fillId="0" borderId="3" xfId="0" applyBorder="1" applyAlignment="1" applyProtection="1">
      <protection locked="0"/>
    </xf>
    <xf numFmtId="0" fontId="0" fillId="0" borderId="4" xfId="0" applyBorder="1" applyAlignment="1" applyProtection="1">
      <protection locked="0"/>
    </xf>
    <xf numFmtId="0" fontId="0" fillId="0" borderId="6" xfId="0" applyBorder="1" applyAlignment="1" applyProtection="1">
      <protection locked="0"/>
    </xf>
    <xf numFmtId="0" fontId="0" fillId="0" borderId="7" xfId="0" applyBorder="1" applyAlignment="1" applyProtection="1">
      <protection locked="0"/>
    </xf>
    <xf numFmtId="0" fontId="0" fillId="0" borderId="8" xfId="0" applyBorder="1" applyAlignment="1" applyProtection="1">
      <protection locked="0"/>
    </xf>
    <xf numFmtId="0" fontId="0" fillId="0" borderId="9" xfId="0" applyBorder="1" applyAlignment="1" applyProtection="1">
      <protection locked="0"/>
    </xf>
    <xf numFmtId="0" fontId="0" fillId="0" borderId="0" xfId="0" applyAlignment="1">
      <alignment horizontal="center"/>
    </xf>
    <xf numFmtId="0" fontId="0" fillId="0" borderId="0" xfId="0" applyFill="1" applyBorder="1" applyAlignment="1"/>
    <xf numFmtId="0" fontId="0" fillId="0" borderId="1" xfId="0" applyBorder="1"/>
    <xf numFmtId="9" fontId="0" fillId="0" borderId="1" xfId="0" applyNumberFormat="1" applyBorder="1"/>
    <xf numFmtId="0" fontId="0" fillId="0" borderId="19" xfId="0" applyBorder="1" applyAlignment="1" applyProtection="1">
      <protection locked="0"/>
    </xf>
    <xf numFmtId="0" fontId="0" fillId="0" borderId="18" xfId="0" applyBorder="1" applyAlignment="1" applyProtection="1">
      <protection locked="0"/>
    </xf>
    <xf numFmtId="0" fontId="0" fillId="0" borderId="1" xfId="0" applyFill="1" applyBorder="1" applyAlignment="1"/>
    <xf numFmtId="0" fontId="3" fillId="0" borderId="1" xfId="0" applyFont="1" applyFill="1" applyBorder="1" applyAlignment="1">
      <alignment horizontal="center"/>
    </xf>
    <xf numFmtId="0" fontId="0" fillId="0" borderId="1" xfId="0" applyBorder="1" applyProtection="1">
      <protection hidden="1"/>
    </xf>
    <xf numFmtId="0" fontId="3" fillId="0" borderId="0" xfId="0" applyFont="1" applyFill="1" applyBorder="1" applyAlignment="1">
      <alignment horizontal="centerContinuous"/>
    </xf>
    <xf numFmtId="0" fontId="0" fillId="0" borderId="0" xfId="0" applyBorder="1"/>
    <xf numFmtId="0" fontId="3" fillId="0" borderId="0" xfId="0" applyFont="1" applyFill="1" applyBorder="1" applyAlignment="1">
      <alignment horizontal="center"/>
    </xf>
    <xf numFmtId="0" fontId="0" fillId="0" borderId="5" xfId="0" applyBorder="1" applyAlignment="1" applyProtection="1">
      <alignment horizontal="center"/>
      <protection hidden="1"/>
    </xf>
    <xf numFmtId="0" fontId="0" fillId="0" borderId="14" xfId="0" applyBorder="1" applyAlignment="1" applyProtection="1">
      <alignment horizontal="center"/>
      <protection hidden="1"/>
    </xf>
    <xf numFmtId="0" fontId="0" fillId="0" borderId="7" xfId="0" applyBorder="1" applyAlignment="1" applyProtection="1">
      <alignment horizontal="center"/>
      <protection hidden="1"/>
    </xf>
    <xf numFmtId="0" fontId="0" fillId="0" borderId="24" xfId="0" applyBorder="1" applyAlignment="1" applyProtection="1">
      <protection locked="0"/>
    </xf>
    <xf numFmtId="0" fontId="0" fillId="0" borderId="2" xfId="0" applyBorder="1" applyAlignment="1" applyProtection="1">
      <alignment horizontal="center"/>
      <protection hidden="1"/>
    </xf>
    <xf numFmtId="1" fontId="0" fillId="0" borderId="4" xfId="0" applyNumberFormat="1" applyBorder="1" applyAlignment="1" applyProtection="1">
      <alignment horizontal="center"/>
      <protection hidden="1"/>
    </xf>
    <xf numFmtId="0" fontId="0" fillId="0" borderId="19" xfId="0" applyBorder="1" applyProtection="1">
      <protection hidden="1"/>
    </xf>
    <xf numFmtId="0" fontId="0" fillId="0" borderId="19" xfId="0" applyBorder="1"/>
    <xf numFmtId="0" fontId="3" fillId="0" borderId="19" xfId="0" applyFont="1" applyFill="1" applyBorder="1" applyAlignment="1">
      <alignment horizontal="center"/>
    </xf>
    <xf numFmtId="0" fontId="0" fillId="0" borderId="19" xfId="0" applyFill="1" applyBorder="1" applyAlignment="1"/>
    <xf numFmtId="0" fontId="0" fillId="0" borderId="14" xfId="0" applyBorder="1" applyAlignment="1" applyProtection="1">
      <protection locked="0"/>
    </xf>
    <xf numFmtId="0" fontId="0" fillId="0" borderId="18" xfId="0" applyBorder="1"/>
    <xf numFmtId="1" fontId="0" fillId="0" borderId="1" xfId="0" applyNumberFormat="1" applyBorder="1" applyAlignment="1" applyProtection="1">
      <alignment horizontal="center"/>
      <protection hidden="1"/>
    </xf>
    <xf numFmtId="0" fontId="0" fillId="0" borderId="6" xfId="0" applyFill="1" applyBorder="1" applyAlignment="1"/>
    <xf numFmtId="1" fontId="0" fillId="0" borderId="1" xfId="0" applyNumberFormat="1" applyBorder="1" applyAlignment="1" applyProtection="1">
      <protection locked="0"/>
    </xf>
    <xf numFmtId="1" fontId="0" fillId="0" borderId="3" xfId="0" applyNumberFormat="1" applyBorder="1" applyAlignment="1" applyProtection="1">
      <alignment horizontal="center"/>
      <protection hidden="1"/>
    </xf>
    <xf numFmtId="1" fontId="0" fillId="0" borderId="3" xfId="0" applyNumberFormat="1" applyBorder="1" applyAlignment="1" applyProtection="1">
      <protection locked="0"/>
    </xf>
    <xf numFmtId="1" fontId="0" fillId="0" borderId="8" xfId="0" applyNumberFormat="1" applyBorder="1" applyAlignment="1" applyProtection="1">
      <alignment horizontal="center"/>
      <protection hidden="1"/>
    </xf>
    <xf numFmtId="1" fontId="0" fillId="0" borderId="8" xfId="0" applyNumberFormat="1" applyBorder="1" applyAlignment="1" applyProtection="1">
      <protection locked="0"/>
    </xf>
    <xf numFmtId="0" fontId="0" fillId="0" borderId="21" xfId="0" applyBorder="1" applyAlignment="1" applyProtection="1">
      <protection locked="0"/>
    </xf>
    <xf numFmtId="0" fontId="0" fillId="0" borderId="21" xfId="0" applyBorder="1" applyProtection="1">
      <protection hidden="1"/>
    </xf>
    <xf numFmtId="0" fontId="0" fillId="0" borderId="21" xfId="0" applyBorder="1"/>
    <xf numFmtId="0" fontId="3" fillId="0" borderId="21" xfId="0" applyFont="1" applyFill="1" applyBorder="1" applyAlignment="1">
      <alignment horizontal="center"/>
    </xf>
    <xf numFmtId="0" fontId="0" fillId="0" borderId="21" xfId="0" applyFill="1" applyBorder="1" applyAlignment="1"/>
    <xf numFmtId="0" fontId="0" fillId="0" borderId="31" xfId="0" applyBorder="1" applyAlignment="1" applyProtection="1">
      <protection locked="0"/>
    </xf>
    <xf numFmtId="0" fontId="0" fillId="0" borderId="32" xfId="0" applyBorder="1" applyAlignment="1" applyProtection="1">
      <protection locked="0"/>
    </xf>
    <xf numFmtId="0" fontId="0" fillId="0" borderId="32" xfId="0" applyBorder="1"/>
    <xf numFmtId="0" fontId="0" fillId="0" borderId="18" xfId="0" applyFill="1" applyBorder="1" applyAlignment="1"/>
    <xf numFmtId="0" fontId="0" fillId="0" borderId="7" xfId="0" applyNumberFormat="1" applyFill="1" applyBorder="1" applyAlignment="1" applyProtection="1">
      <alignment horizontal="center"/>
      <protection hidden="1"/>
    </xf>
    <xf numFmtId="0" fontId="0" fillId="6" borderId="2" xfId="0" applyFill="1" applyBorder="1" applyAlignment="1" applyProtection="1">
      <protection locked="0"/>
    </xf>
    <xf numFmtId="1" fontId="0" fillId="6" borderId="2" xfId="0" applyNumberFormat="1" applyFill="1" applyBorder="1" applyAlignment="1" applyProtection="1">
      <protection locked="0"/>
    </xf>
    <xf numFmtId="0" fontId="0" fillId="6" borderId="29" xfId="0" applyFill="1" applyBorder="1" applyAlignment="1" applyProtection="1">
      <protection locked="0"/>
    </xf>
    <xf numFmtId="1" fontId="0" fillId="6" borderId="29" xfId="0" applyNumberFormat="1" applyFill="1" applyBorder="1" applyAlignment="1" applyProtection="1">
      <protection locked="0"/>
    </xf>
    <xf numFmtId="0" fontId="0" fillId="6" borderId="7" xfId="0" applyFill="1" applyBorder="1" applyAlignment="1" applyProtection="1">
      <protection locked="0"/>
    </xf>
    <xf numFmtId="0" fontId="0" fillId="6" borderId="30" xfId="0" applyFill="1" applyBorder="1" applyAlignment="1" applyProtection="1">
      <protection locked="0"/>
    </xf>
    <xf numFmtId="0" fontId="8" fillId="6" borderId="4" xfId="0" applyFont="1" applyFill="1" applyBorder="1" applyAlignment="1">
      <alignment horizontal="center"/>
    </xf>
    <xf numFmtId="0" fontId="8" fillId="6" borderId="6" xfId="0" applyFont="1" applyFill="1" applyBorder="1" applyAlignment="1">
      <alignment horizontal="center"/>
    </xf>
    <xf numFmtId="0" fontId="8" fillId="6" borderId="6" xfId="0" applyFont="1" applyFill="1" applyBorder="1" applyAlignment="1"/>
    <xf numFmtId="0" fontId="8" fillId="6" borderId="9" xfId="0" applyFont="1" applyFill="1" applyBorder="1" applyAlignment="1"/>
    <xf numFmtId="0" fontId="0" fillId="0" borderId="37" xfId="0" applyFill="1" applyBorder="1" applyAlignment="1"/>
    <xf numFmtId="0" fontId="1" fillId="5" borderId="40" xfId="0" applyFont="1" applyFill="1" applyBorder="1" applyAlignment="1" applyProtection="1">
      <alignment horizontal="center"/>
      <protection hidden="1"/>
    </xf>
    <xf numFmtId="0" fontId="1" fillId="5" borderId="22" xfId="0" applyFont="1" applyFill="1" applyBorder="1" applyAlignment="1" applyProtection="1">
      <alignment horizontal="center"/>
      <protection hidden="1"/>
    </xf>
    <xf numFmtId="0" fontId="8" fillId="6" borderId="17" xfId="0" applyFont="1" applyFill="1" applyBorder="1" applyAlignment="1"/>
    <xf numFmtId="164" fontId="0" fillId="0" borderId="1" xfId="0" applyNumberFormat="1" applyBorder="1" applyAlignment="1" applyProtection="1">
      <protection locked="0"/>
    </xf>
    <xf numFmtId="0" fontId="0" fillId="0" borderId="41" xfId="0" applyBorder="1"/>
    <xf numFmtId="0" fontId="0" fillId="0" borderId="44" xfId="0" applyBorder="1" applyAlignment="1" applyProtection="1">
      <protection locked="0"/>
    </xf>
    <xf numFmtId="0" fontId="0" fillId="6" borderId="33" xfId="0" applyFill="1" applyBorder="1" applyAlignment="1" applyProtection="1">
      <protection locked="0"/>
    </xf>
    <xf numFmtId="0" fontId="0" fillId="6" borderId="42" xfId="0" applyFill="1" applyBorder="1" applyAlignment="1" applyProtection="1">
      <protection locked="0"/>
    </xf>
    <xf numFmtId="0" fontId="8" fillId="6" borderId="6" xfId="0" applyFont="1" applyFill="1" applyBorder="1"/>
    <xf numFmtId="0" fontId="8" fillId="6" borderId="9" xfId="0" applyFont="1" applyFill="1" applyBorder="1"/>
    <xf numFmtId="0" fontId="0" fillId="6" borderId="8" xfId="0" applyFill="1" applyBorder="1" applyAlignment="1" applyProtection="1">
      <protection locked="0"/>
    </xf>
    <xf numFmtId="0" fontId="0" fillId="6" borderId="9" xfId="0" applyFill="1" applyBorder="1" applyAlignment="1" applyProtection="1">
      <protection locked="0"/>
    </xf>
    <xf numFmtId="1" fontId="0" fillId="0" borderId="32" xfId="0" applyNumberFormat="1" applyBorder="1" applyAlignment="1" applyProtection="1">
      <protection locked="0"/>
    </xf>
    <xf numFmtId="164" fontId="0" fillId="0" borderId="32" xfId="0" applyNumberFormat="1" applyBorder="1" applyAlignment="1" applyProtection="1">
      <protection locked="0"/>
    </xf>
    <xf numFmtId="0" fontId="0" fillId="0" borderId="50" xfId="0" applyBorder="1" applyAlignment="1" applyProtection="1">
      <protection locked="0"/>
    </xf>
    <xf numFmtId="0" fontId="0" fillId="6" borderId="3" xfId="0" applyFill="1" applyBorder="1" applyAlignment="1" applyProtection="1">
      <protection locked="0"/>
    </xf>
    <xf numFmtId="0" fontId="0" fillId="6" borderId="4" xfId="0" applyFill="1" applyBorder="1" applyAlignment="1" applyProtection="1">
      <protection locked="0"/>
    </xf>
    <xf numFmtId="1" fontId="0" fillId="0" borderId="18" xfId="0" applyNumberFormat="1" applyBorder="1" applyAlignment="1" applyProtection="1">
      <protection locked="0"/>
    </xf>
    <xf numFmtId="164" fontId="0" fillId="0" borderId="18" xfId="0" applyNumberFormat="1" applyBorder="1" applyAlignment="1" applyProtection="1">
      <protection locked="0"/>
    </xf>
    <xf numFmtId="0" fontId="0" fillId="0" borderId="15" xfId="0" applyBorder="1" applyAlignment="1" applyProtection="1">
      <protection locked="0"/>
    </xf>
    <xf numFmtId="0" fontId="6" fillId="4" borderId="17" xfId="0" applyFont="1" applyFill="1" applyBorder="1" applyAlignment="1" applyProtection="1">
      <alignment horizontal="center" vertical="center"/>
      <protection locked="0"/>
    </xf>
    <xf numFmtId="0" fontId="1" fillId="4" borderId="16" xfId="0" applyFont="1" applyFill="1" applyBorder="1" applyAlignment="1" applyProtection="1">
      <alignment horizontal="center" vertical="center"/>
      <protection locked="0"/>
    </xf>
    <xf numFmtId="0" fontId="6" fillId="4" borderId="25" xfId="0" applyFont="1" applyFill="1" applyBorder="1" applyAlignment="1" applyProtection="1">
      <alignment horizontal="center" vertical="center"/>
      <protection locked="0"/>
    </xf>
    <xf numFmtId="0" fontId="6" fillId="4" borderId="26" xfId="0" applyFont="1" applyFill="1" applyBorder="1" applyAlignment="1" applyProtection="1">
      <alignment horizontal="center" vertical="center"/>
      <protection locked="0"/>
    </xf>
    <xf numFmtId="0" fontId="6" fillId="4" borderId="27" xfId="0" applyFont="1" applyFill="1" applyBorder="1" applyAlignment="1" applyProtection="1">
      <alignment horizontal="center" vertical="center"/>
      <protection locked="0"/>
    </xf>
    <xf numFmtId="0" fontId="6" fillId="4" borderId="28" xfId="0" applyFont="1" applyFill="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6" borderId="1" xfId="0" applyFont="1" applyFill="1" applyBorder="1" applyAlignment="1" applyProtection="1">
      <protection locked="0"/>
    </xf>
    <xf numFmtId="10" fontId="8" fillId="6" borderId="1" xfId="0" applyNumberFormat="1" applyFont="1" applyFill="1" applyBorder="1" applyAlignment="1" applyProtection="1">
      <protection locked="0"/>
    </xf>
    <xf numFmtId="10" fontId="0" fillId="0" borderId="9" xfId="0" applyNumberFormat="1" applyBorder="1" applyProtection="1">
      <protection hidden="1"/>
    </xf>
    <xf numFmtId="1" fontId="0" fillId="0" borderId="18" xfId="0" applyNumberFormat="1" applyBorder="1" applyAlignment="1" applyProtection="1">
      <alignment horizontal="center"/>
      <protection hidden="1"/>
    </xf>
    <xf numFmtId="0" fontId="6" fillId="4" borderId="16" xfId="0" applyFont="1" applyFill="1" applyBorder="1" applyAlignment="1" applyProtection="1">
      <alignment horizontal="center" vertical="center"/>
      <protection locked="0"/>
    </xf>
    <xf numFmtId="0" fontId="0" fillId="0" borderId="45" xfId="0" applyBorder="1" applyAlignment="1" applyProtection="1">
      <protection locked="0"/>
    </xf>
    <xf numFmtId="0" fontId="0" fillId="0" borderId="15" xfId="0" applyFill="1" applyBorder="1" applyAlignment="1"/>
    <xf numFmtId="2" fontId="0" fillId="0" borderId="0" xfId="0" applyNumberFormat="1" applyAlignment="1">
      <alignment horizontal="center"/>
    </xf>
    <xf numFmtId="17" fontId="0" fillId="3" borderId="23" xfId="0" applyNumberFormat="1" applyFill="1" applyBorder="1" applyAlignment="1">
      <alignment horizontal="center"/>
    </xf>
    <xf numFmtId="165" fontId="0" fillId="0" borderId="53" xfId="0" applyNumberFormat="1" applyBorder="1" applyAlignment="1">
      <alignment horizontal="center"/>
    </xf>
    <xf numFmtId="0" fontId="0" fillId="0" borderId="52" xfId="0" applyBorder="1" applyAlignment="1">
      <alignment horizontal="center"/>
    </xf>
    <xf numFmtId="165" fontId="0" fillId="0" borderId="54" xfId="0" applyNumberFormat="1" applyBorder="1" applyAlignment="1">
      <alignment horizontal="center"/>
    </xf>
    <xf numFmtId="0" fontId="0" fillId="0" borderId="51" xfId="0" applyBorder="1" applyAlignment="1">
      <alignment horizontal="center"/>
    </xf>
    <xf numFmtId="0" fontId="0" fillId="9" borderId="55" xfId="0" applyFill="1" applyBorder="1" applyAlignment="1">
      <alignment horizontal="center"/>
    </xf>
    <xf numFmtId="0" fontId="0" fillId="9" borderId="38" xfId="0" applyFill="1" applyBorder="1" applyAlignment="1">
      <alignment horizontal="center"/>
    </xf>
    <xf numFmtId="9" fontId="0" fillId="0" borderId="53" xfId="1" applyFont="1" applyBorder="1" applyAlignment="1">
      <alignment horizontal="center"/>
    </xf>
    <xf numFmtId="0" fontId="1" fillId="9" borderId="52" xfId="0" applyFont="1" applyFill="1" applyBorder="1" applyAlignment="1">
      <alignment horizontal="center"/>
    </xf>
    <xf numFmtId="0" fontId="0" fillId="0" borderId="53" xfId="0" applyBorder="1" applyAlignment="1">
      <alignment horizontal="center"/>
    </xf>
    <xf numFmtId="0" fontId="0" fillId="0" borderId="56" xfId="0" applyBorder="1" applyAlignment="1">
      <alignment horizontal="center"/>
    </xf>
    <xf numFmtId="0" fontId="0" fillId="0" borderId="54" xfId="0" applyBorder="1" applyAlignment="1">
      <alignment horizontal="center"/>
    </xf>
    <xf numFmtId="0" fontId="1" fillId="9" borderId="51" xfId="0" applyFont="1" applyFill="1" applyBorder="1" applyAlignment="1">
      <alignment horizontal="center"/>
    </xf>
    <xf numFmtId="0" fontId="0" fillId="9" borderId="57" xfId="0" applyFill="1" applyBorder="1" applyAlignment="1">
      <alignment horizontal="center"/>
    </xf>
    <xf numFmtId="0" fontId="0" fillId="0" borderId="13" xfId="0" applyBorder="1" applyAlignment="1">
      <alignment horizontal="center"/>
    </xf>
    <xf numFmtId="0" fontId="1" fillId="9" borderId="11" xfId="0" applyFont="1" applyFill="1" applyBorder="1" applyAlignment="1">
      <alignment horizontal="center"/>
    </xf>
    <xf numFmtId="0" fontId="0" fillId="3" borderId="60" xfId="0" applyFont="1" applyFill="1" applyBorder="1" applyAlignment="1">
      <alignment horizontal="center"/>
    </xf>
    <xf numFmtId="0" fontId="0" fillId="3" borderId="23" xfId="0" applyFont="1" applyFill="1" applyBorder="1" applyAlignment="1">
      <alignment horizontal="center"/>
    </xf>
    <xf numFmtId="17" fontId="0" fillId="3" borderId="23" xfId="0" applyNumberFormat="1" applyFont="1" applyFill="1" applyBorder="1" applyAlignment="1">
      <alignment horizontal="center"/>
    </xf>
    <xf numFmtId="0" fontId="0" fillId="11" borderId="60" xfId="0" applyFont="1" applyFill="1" applyBorder="1" applyAlignment="1">
      <alignment horizontal="center"/>
    </xf>
    <xf numFmtId="0" fontId="0" fillId="11" borderId="23" xfId="0" applyFont="1" applyFill="1" applyBorder="1" applyAlignment="1">
      <alignment horizontal="center"/>
    </xf>
    <xf numFmtId="0" fontId="12" fillId="10" borderId="59" xfId="0" applyFont="1" applyFill="1" applyBorder="1" applyAlignment="1">
      <alignment horizontal="center" wrapText="1"/>
    </xf>
    <xf numFmtId="0" fontId="12" fillId="10" borderId="58" xfId="0" applyFont="1" applyFill="1" applyBorder="1" applyAlignment="1">
      <alignment horizontal="center" wrapText="1"/>
    </xf>
    <xf numFmtId="0" fontId="0" fillId="0" borderId="1" xfId="0" applyFill="1" applyBorder="1"/>
    <xf numFmtId="0" fontId="15" fillId="0" borderId="1" xfId="0" applyFont="1" applyFill="1" applyBorder="1" applyAlignment="1">
      <alignment horizontal="left" vertical="center" wrapText="1"/>
    </xf>
    <xf numFmtId="0" fontId="0" fillId="0" borderId="1" xfId="0" applyFont="1" applyFill="1" applyBorder="1" applyAlignment="1">
      <alignment horizontal="center"/>
    </xf>
    <xf numFmtId="17" fontId="0" fillId="0" borderId="1" xfId="0" applyNumberFormat="1" applyFont="1" applyFill="1" applyBorder="1" applyAlignment="1">
      <alignment horizontal="center"/>
    </xf>
    <xf numFmtId="2" fontId="0" fillId="0" borderId="1" xfId="0" applyNumberFormat="1" applyFont="1" applyFill="1" applyBorder="1" applyAlignment="1">
      <alignment horizontal="center"/>
    </xf>
    <xf numFmtId="0" fontId="0" fillId="0" borderId="1" xfId="0" applyFill="1" applyBorder="1" applyAlignment="1">
      <alignment wrapText="1"/>
    </xf>
    <xf numFmtId="0" fontId="0" fillId="13" borderId="1" xfId="0" applyFont="1" applyFill="1" applyBorder="1" applyAlignment="1">
      <alignment horizontal="center"/>
    </xf>
    <xf numFmtId="2" fontId="0" fillId="14" borderId="1" xfId="0" applyNumberFormat="1" applyFont="1" applyFill="1" applyBorder="1" applyAlignment="1">
      <alignment horizontal="center"/>
    </xf>
    <xf numFmtId="0" fontId="13" fillId="11" borderId="23" xfId="0" applyFont="1" applyFill="1" applyBorder="1" applyAlignment="1">
      <alignment horizontal="center"/>
    </xf>
    <xf numFmtId="17" fontId="13" fillId="3" borderId="23" xfId="0" applyNumberFormat="1" applyFont="1" applyFill="1" applyBorder="1" applyAlignment="1">
      <alignment horizontal="center"/>
    </xf>
    <xf numFmtId="0" fontId="0" fillId="0" borderId="1" xfId="0" applyNumberFormat="1" applyFill="1" applyBorder="1"/>
    <xf numFmtId="0" fontId="12" fillId="10" borderId="59" xfId="0" applyNumberFormat="1" applyFont="1" applyFill="1" applyBorder="1" applyAlignment="1">
      <alignment horizontal="center" wrapText="1"/>
    </xf>
    <xf numFmtId="0" fontId="0" fillId="0" borderId="19" xfId="0" applyFont="1" applyFill="1" applyBorder="1" applyAlignment="1">
      <alignment horizontal="center"/>
    </xf>
    <xf numFmtId="0" fontId="0" fillId="0" borderId="32" xfId="0" applyFont="1" applyFill="1" applyBorder="1" applyAlignment="1">
      <alignment horizontal="center"/>
    </xf>
    <xf numFmtId="17" fontId="0" fillId="0" borderId="32" xfId="0" applyNumberFormat="1" applyFont="1" applyFill="1" applyBorder="1" applyAlignment="1">
      <alignment horizontal="center"/>
    </xf>
    <xf numFmtId="0" fontId="0" fillId="0" borderId="18" xfId="0" applyFont="1" applyFill="1" applyBorder="1" applyAlignment="1">
      <alignment horizontal="center"/>
    </xf>
    <xf numFmtId="17" fontId="0" fillId="0" borderId="18" xfId="0" applyNumberFormat="1" applyFont="1" applyFill="1" applyBorder="1" applyAlignment="1">
      <alignment horizontal="center"/>
    </xf>
    <xf numFmtId="0" fontId="0" fillId="15" borderId="2" xfId="0" applyFont="1" applyFill="1" applyBorder="1" applyAlignment="1">
      <alignment horizontal="center"/>
    </xf>
    <xf numFmtId="0" fontId="0" fillId="0" borderId="4" xfId="0" applyFill="1" applyBorder="1"/>
    <xf numFmtId="0" fontId="0" fillId="15" borderId="5" xfId="0" applyFont="1" applyFill="1" applyBorder="1" applyAlignment="1">
      <alignment horizontal="center"/>
    </xf>
    <xf numFmtId="0" fontId="0" fillId="0" borderId="6" xfId="0" applyNumberFormat="1" applyFont="1" applyFill="1" applyBorder="1" applyAlignment="1">
      <alignment horizontal="center"/>
    </xf>
    <xf numFmtId="0" fontId="0" fillId="15" borderId="7" xfId="0" applyFont="1" applyFill="1" applyBorder="1" applyAlignment="1">
      <alignment horizontal="center"/>
    </xf>
    <xf numFmtId="0" fontId="0" fillId="0" borderId="9" xfId="0" applyNumberFormat="1" applyFont="1" applyFill="1" applyBorder="1" applyAlignment="1">
      <alignment horizontal="center"/>
    </xf>
    <xf numFmtId="0" fontId="0" fillId="5" borderId="1" xfId="0" applyFill="1" applyBorder="1"/>
    <xf numFmtId="0" fontId="0" fillId="16" borderId="1" xfId="0" applyFill="1" applyBorder="1"/>
    <xf numFmtId="0" fontId="8" fillId="13" borderId="1" xfId="0" applyFont="1" applyFill="1" applyBorder="1" applyAlignment="1" applyProtection="1">
      <protection locked="0"/>
    </xf>
    <xf numFmtId="10" fontId="8" fillId="13" borderId="1" xfId="0" applyNumberFormat="1" applyFont="1" applyFill="1" applyBorder="1" applyAlignment="1" applyProtection="1">
      <protection locked="0"/>
    </xf>
    <xf numFmtId="0" fontId="0" fillId="13" borderId="1" xfId="0" applyFill="1" applyBorder="1"/>
    <xf numFmtId="0" fontId="13" fillId="13" borderId="1" xfId="0" applyFont="1" applyFill="1" applyBorder="1"/>
    <xf numFmtId="0" fontId="17" fillId="10" borderId="59" xfId="0" applyFont="1" applyFill="1" applyBorder="1" applyAlignment="1">
      <alignment horizontal="center" wrapText="1"/>
    </xf>
    <xf numFmtId="0" fontId="0" fillId="0" borderId="45" xfId="0" applyBorder="1" applyAlignment="1">
      <alignment horizontal="center" wrapText="1"/>
    </xf>
    <xf numFmtId="0" fontId="0" fillId="0" borderId="18" xfId="0" applyBorder="1" applyAlignment="1">
      <alignment horizontal="center" wrapText="1"/>
    </xf>
    <xf numFmtId="0" fontId="0" fillId="0" borderId="18" xfId="0" applyNumberFormat="1" applyBorder="1" applyAlignment="1">
      <alignment horizontal="center" wrapText="1"/>
    </xf>
    <xf numFmtId="0" fontId="0" fillId="0" borderId="48" xfId="0" applyBorder="1" applyAlignment="1">
      <alignment horizontal="center" wrapText="1"/>
    </xf>
    <xf numFmtId="0" fontId="0" fillId="0" borderId="19" xfId="0" applyBorder="1" applyAlignment="1">
      <alignment horizontal="center"/>
    </xf>
    <xf numFmtId="0" fontId="0" fillId="0" borderId="1" xfId="0" applyBorder="1" applyAlignment="1">
      <alignment horizontal="center"/>
    </xf>
    <xf numFmtId="0" fontId="0" fillId="0" borderId="1" xfId="0" applyNumberFormat="1" applyBorder="1" applyAlignment="1">
      <alignment horizontal="center"/>
    </xf>
    <xf numFmtId="0" fontId="0" fillId="0" borderId="41" xfId="0" applyBorder="1" applyAlignment="1">
      <alignment horizontal="center"/>
    </xf>
    <xf numFmtId="0" fontId="0" fillId="13" borderId="19" xfId="0" applyFill="1" applyBorder="1" applyAlignment="1">
      <alignment horizontal="center"/>
    </xf>
    <xf numFmtId="0" fontId="0" fillId="12" borderId="1" xfId="0" applyFill="1" applyBorder="1" applyAlignment="1">
      <alignment horizontal="center"/>
    </xf>
    <xf numFmtId="0" fontId="0" fillId="12" borderId="1" xfId="0" applyNumberFormat="1" applyFill="1" applyBorder="1" applyAlignment="1">
      <alignment horizontal="center"/>
    </xf>
    <xf numFmtId="0" fontId="0" fillId="12" borderId="41" xfId="0" applyFill="1" applyBorder="1" applyAlignment="1">
      <alignment horizontal="center"/>
    </xf>
    <xf numFmtId="0" fontId="0" fillId="13" borderId="62" xfId="0" applyFill="1" applyBorder="1" applyAlignment="1">
      <alignment horizontal="center"/>
    </xf>
    <xf numFmtId="2" fontId="0" fillId="15" borderId="32" xfId="0" applyNumberFormat="1" applyFill="1" applyBorder="1" applyAlignment="1">
      <alignment horizontal="center"/>
    </xf>
    <xf numFmtId="0" fontId="0" fillId="15" borderId="32" xfId="0" applyNumberFormat="1" applyFill="1" applyBorder="1" applyAlignment="1">
      <alignment horizontal="center"/>
    </xf>
    <xf numFmtId="2" fontId="0" fillId="15" borderId="61" xfId="0" applyNumberFormat="1" applyFill="1" applyBorder="1" applyAlignment="1">
      <alignment horizontal="center"/>
    </xf>
    <xf numFmtId="0" fontId="0" fillId="0" borderId="41" xfId="0" applyFont="1" applyFill="1" applyBorder="1" applyAlignment="1">
      <alignment horizontal="center"/>
    </xf>
    <xf numFmtId="0" fontId="0" fillId="0" borderId="7" xfId="0" applyFont="1" applyFill="1" applyBorder="1" applyAlignment="1">
      <alignment horizontal="center"/>
    </xf>
    <xf numFmtId="0" fontId="1" fillId="17" borderId="2" xfId="0" applyFont="1" applyFill="1" applyBorder="1" applyAlignment="1">
      <alignment horizontal="center"/>
    </xf>
    <xf numFmtId="17" fontId="1" fillId="17" borderId="4" xfId="0" applyNumberFormat="1" applyFont="1" applyFill="1" applyBorder="1" applyAlignment="1">
      <alignment horizontal="center"/>
    </xf>
    <xf numFmtId="0" fontId="6" fillId="5" borderId="7" xfId="0" applyFont="1" applyFill="1" applyBorder="1" applyAlignment="1">
      <alignment horizontal="center" wrapText="1"/>
    </xf>
    <xf numFmtId="0" fontId="6" fillId="5" borderId="8" xfId="0" applyFont="1" applyFill="1" applyBorder="1" applyAlignment="1">
      <alignment horizontal="center" wrapText="1"/>
    </xf>
    <xf numFmtId="0" fontId="6" fillId="5" borderId="5" xfId="0" applyFont="1" applyFill="1" applyBorder="1" applyAlignment="1">
      <alignment horizontal="center"/>
    </xf>
    <xf numFmtId="0" fontId="6" fillId="5" borderId="1" xfId="0" applyFont="1" applyFill="1" applyBorder="1" applyAlignment="1">
      <alignment horizontal="center"/>
    </xf>
    <xf numFmtId="0" fontId="8" fillId="8" borderId="46" xfId="0" applyFont="1" applyFill="1" applyBorder="1" applyAlignment="1">
      <alignment horizontal="left" vertical="top" wrapText="1"/>
    </xf>
    <xf numFmtId="0" fontId="0" fillId="8" borderId="0" xfId="0" applyFill="1" applyBorder="1" applyAlignment="1">
      <alignment horizontal="left" vertical="top" wrapText="1"/>
    </xf>
    <xf numFmtId="0" fontId="0" fillId="8" borderId="47" xfId="0" applyFill="1" applyBorder="1" applyAlignment="1">
      <alignment horizontal="left" vertical="top" wrapText="1"/>
    </xf>
    <xf numFmtId="0" fontId="0" fillId="8" borderId="46" xfId="0" applyFill="1" applyBorder="1" applyAlignment="1">
      <alignment horizontal="left" vertical="top" wrapText="1"/>
    </xf>
    <xf numFmtId="0" fontId="0" fillId="8" borderId="48" xfId="0" applyFill="1" applyBorder="1" applyAlignment="1">
      <alignment horizontal="left" vertical="top" wrapText="1"/>
    </xf>
    <xf numFmtId="0" fontId="0" fillId="8" borderId="49" xfId="0" applyFill="1" applyBorder="1" applyAlignment="1">
      <alignment horizontal="left" vertical="top" wrapText="1"/>
    </xf>
    <xf numFmtId="0" fontId="0" fillId="8" borderId="45" xfId="0" applyFill="1" applyBorder="1" applyAlignment="1">
      <alignment horizontal="left" vertical="top" wrapText="1"/>
    </xf>
    <xf numFmtId="0" fontId="6" fillId="5" borderId="41" xfId="0" applyFont="1" applyFill="1" applyBorder="1" applyAlignment="1" applyProtection="1">
      <alignment horizontal="center" vertical="center"/>
      <protection locked="0"/>
    </xf>
    <xf numFmtId="0" fontId="6" fillId="5" borderId="19" xfId="0" applyFont="1" applyFill="1" applyBorder="1" applyAlignment="1" applyProtection="1">
      <alignment horizontal="center" vertical="center"/>
      <protection locked="0"/>
    </xf>
    <xf numFmtId="0" fontId="6" fillId="5" borderId="41" xfId="0" applyFont="1" applyFill="1" applyBorder="1" applyAlignment="1" applyProtection="1">
      <alignment horizontal="center"/>
      <protection locked="0"/>
    </xf>
    <xf numFmtId="0" fontId="6" fillId="5" borderId="19" xfId="0" applyFont="1" applyFill="1" applyBorder="1" applyAlignment="1" applyProtection="1">
      <alignment horizontal="center"/>
      <protection locked="0"/>
    </xf>
    <xf numFmtId="0" fontId="6" fillId="5" borderId="32" xfId="0" applyFont="1" applyFill="1" applyBorder="1" applyAlignment="1">
      <alignment horizontal="center" wrapText="1"/>
    </xf>
    <xf numFmtId="0" fontId="6" fillId="5" borderId="18" xfId="0" applyFont="1" applyFill="1" applyBorder="1" applyAlignment="1">
      <alignment horizontal="center" wrapText="1"/>
    </xf>
    <xf numFmtId="0" fontId="8" fillId="5" borderId="32" xfId="0" applyFont="1" applyFill="1" applyBorder="1" applyAlignment="1" applyProtection="1">
      <alignment horizontal="center"/>
      <protection hidden="1"/>
    </xf>
    <xf numFmtId="0" fontId="8" fillId="5" borderId="18" xfId="0" applyFont="1" applyFill="1" applyBorder="1" applyAlignment="1" applyProtection="1">
      <alignment horizontal="center"/>
      <protection hidden="1"/>
    </xf>
    <xf numFmtId="0" fontId="6" fillId="5" borderId="5" xfId="0" applyFont="1" applyFill="1" applyBorder="1" applyAlignment="1" applyProtection="1">
      <alignment horizontal="left" wrapText="1"/>
      <protection hidden="1"/>
    </xf>
    <xf numFmtId="0" fontId="6" fillId="5" borderId="1" xfId="0" applyFont="1" applyFill="1" applyBorder="1" applyAlignment="1" applyProtection="1">
      <alignment horizontal="left" wrapText="1"/>
      <protection hidden="1"/>
    </xf>
    <xf numFmtId="0" fontId="0" fillId="0" borderId="41" xfId="0" applyBorder="1" applyAlignment="1" applyProtection="1">
      <alignment horizontal="center"/>
      <protection locked="0"/>
    </xf>
    <xf numFmtId="0" fontId="0" fillId="0" borderId="19" xfId="0" applyBorder="1" applyAlignment="1" applyProtection="1">
      <alignment horizontal="center"/>
      <protection locked="0"/>
    </xf>
    <xf numFmtId="0" fontId="6" fillId="5" borderId="20" xfId="0" applyFont="1" applyFill="1" applyBorder="1" applyAlignment="1" applyProtection="1">
      <alignment horizontal="center" wrapText="1"/>
      <protection hidden="1"/>
    </xf>
    <xf numFmtId="0" fontId="6" fillId="5" borderId="19" xfId="0" applyFont="1" applyFill="1" applyBorder="1" applyAlignment="1" applyProtection="1">
      <alignment horizontal="center" wrapText="1"/>
      <protection hidden="1"/>
    </xf>
    <xf numFmtId="0" fontId="6" fillId="5" borderId="42" xfId="0" applyFont="1" applyFill="1" applyBorder="1" applyAlignment="1" applyProtection="1">
      <alignment horizontal="center" wrapText="1"/>
      <protection hidden="1"/>
    </xf>
    <xf numFmtId="0" fontId="6" fillId="5" borderId="43" xfId="0" applyFont="1" applyFill="1" applyBorder="1" applyAlignment="1" applyProtection="1">
      <alignment horizontal="center" wrapText="1"/>
      <protection hidden="1"/>
    </xf>
    <xf numFmtId="0" fontId="6" fillId="7" borderId="38" xfId="0" applyFont="1" applyFill="1" applyBorder="1" applyAlignment="1" applyProtection="1">
      <alignment horizontal="center"/>
      <protection locked="0"/>
    </xf>
    <xf numFmtId="0" fontId="6" fillId="7" borderId="39" xfId="0" applyFont="1" applyFill="1" applyBorder="1" applyAlignment="1" applyProtection="1">
      <alignment horizontal="center"/>
      <protection locked="0"/>
    </xf>
    <xf numFmtId="0" fontId="0" fillId="0" borderId="11" xfId="0" applyBorder="1" applyAlignment="1" applyProtection="1">
      <alignment horizontal="center"/>
      <protection locked="0"/>
    </xf>
    <xf numFmtId="0" fontId="0" fillId="0" borderId="36" xfId="0" applyBorder="1" applyAlignment="1" applyProtection="1">
      <alignment horizontal="center"/>
      <protection locked="0"/>
    </xf>
    <xf numFmtId="0" fontId="6" fillId="5" borderId="2" xfId="0" applyFont="1" applyFill="1" applyBorder="1" applyAlignment="1" applyProtection="1">
      <alignment horizontal="center"/>
      <protection locked="0"/>
    </xf>
    <xf numFmtId="0" fontId="6" fillId="5" borderId="3" xfId="0" applyFont="1" applyFill="1" applyBorder="1" applyAlignment="1" applyProtection="1">
      <alignment horizontal="center"/>
      <protection locked="0"/>
    </xf>
    <xf numFmtId="0" fontId="6" fillId="5" borderId="5" xfId="0" applyFont="1" applyFill="1" applyBorder="1" applyAlignment="1" applyProtection="1">
      <alignment horizontal="center"/>
      <protection locked="0"/>
    </xf>
    <xf numFmtId="0" fontId="6" fillId="5" borderId="1" xfId="0" applyFont="1" applyFill="1" applyBorder="1" applyAlignment="1" applyProtection="1">
      <alignment horizontal="center"/>
      <protection locked="0"/>
    </xf>
    <xf numFmtId="0" fontId="6" fillId="5" borderId="5" xfId="0" applyFont="1" applyFill="1" applyBorder="1" applyAlignment="1" applyProtection="1">
      <alignment horizontal="center"/>
      <protection hidden="1"/>
    </xf>
    <xf numFmtId="0" fontId="6" fillId="5" borderId="1" xfId="0" applyFont="1" applyFill="1" applyBorder="1" applyAlignment="1" applyProtection="1">
      <alignment horizontal="center"/>
      <protection hidden="1"/>
    </xf>
    <xf numFmtId="0" fontId="6" fillId="5" borderId="34" xfId="0" applyFont="1" applyFill="1" applyBorder="1" applyAlignment="1" applyProtection="1">
      <alignment horizontal="left" wrapText="1"/>
      <protection hidden="1"/>
    </xf>
    <xf numFmtId="0" fontId="6" fillId="5" borderId="35" xfId="0" applyFont="1" applyFill="1" applyBorder="1" applyAlignment="1" applyProtection="1">
      <alignment horizontal="left" wrapText="1"/>
      <protection hidden="1"/>
    </xf>
    <xf numFmtId="0" fontId="6" fillId="5" borderId="33" xfId="0" applyFont="1" applyFill="1" applyBorder="1" applyAlignment="1" applyProtection="1">
      <alignment horizontal="center"/>
      <protection locked="0"/>
    </xf>
    <xf numFmtId="0" fontId="6" fillId="5" borderId="24" xfId="0" applyFont="1" applyFill="1" applyBorder="1" applyAlignment="1" applyProtection="1">
      <alignment horizontal="center"/>
      <protection locked="0"/>
    </xf>
    <xf numFmtId="0" fontId="6" fillId="5" borderId="20" xfId="0" applyFont="1" applyFill="1" applyBorder="1" applyAlignment="1" applyProtection="1">
      <alignment horizontal="center"/>
      <protection locked="0"/>
    </xf>
    <xf numFmtId="0" fontId="0" fillId="0" borderId="2" xfId="0" applyBorder="1" applyAlignment="1" applyProtection="1">
      <alignment horizontal="center" vertical="center" wrapText="1"/>
      <protection hidden="1"/>
    </xf>
    <xf numFmtId="0" fontId="0" fillId="0" borderId="3" xfId="0" applyBorder="1" applyAlignment="1" applyProtection="1">
      <alignment horizontal="center" vertical="center" wrapText="1"/>
      <protection hidden="1"/>
    </xf>
    <xf numFmtId="0" fontId="0" fillId="0" borderId="4" xfId="0" applyBorder="1" applyAlignment="1" applyProtection="1">
      <alignment horizontal="center" vertical="center" wrapText="1"/>
      <protection hidden="1"/>
    </xf>
    <xf numFmtId="0" fontId="0" fillId="0" borderId="5" xfId="0"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0" fontId="0" fillId="0" borderId="20"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10" xfId="0" applyBorder="1" applyAlignment="1" applyProtection="1">
      <alignment horizontal="left" vertical="center" wrapText="1"/>
      <protection hidden="1"/>
    </xf>
    <xf numFmtId="0" fontId="0" fillId="0" borderId="5" xfId="0" applyBorder="1" applyAlignment="1" applyProtection="1">
      <alignment horizontal="left" vertical="center" wrapText="1"/>
      <protection hidden="1"/>
    </xf>
    <xf numFmtId="0" fontId="0" fillId="0" borderId="1" xfId="0" applyBorder="1" applyAlignment="1" applyProtection="1">
      <alignment horizontal="left" vertical="center" wrapText="1"/>
      <protection hidden="1"/>
    </xf>
    <xf numFmtId="0" fontId="0" fillId="0" borderId="6" xfId="0" applyBorder="1" applyAlignment="1" applyProtection="1">
      <alignment horizontal="left" vertical="center" wrapText="1"/>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 fillId="0" borderId="8" xfId="0" applyFont="1" applyBorder="1" applyAlignment="1" applyProtection="1">
      <alignment horizontal="center" vertical="center"/>
      <protection hidden="1"/>
    </xf>
    <xf numFmtId="0" fontId="1" fillId="0" borderId="9" xfId="0" applyFont="1" applyBorder="1" applyAlignment="1" applyProtection="1">
      <alignment horizontal="center" vertical="center"/>
      <protection hidden="1"/>
    </xf>
    <xf numFmtId="0" fontId="1" fillId="2" borderId="0" xfId="0" applyFont="1" applyFill="1" applyBorder="1" applyAlignment="1" applyProtection="1">
      <alignment horizontal="center"/>
      <protection hidden="1"/>
    </xf>
    <xf numFmtId="0" fontId="0" fillId="2" borderId="0" xfId="0" applyFill="1" applyBorder="1" applyAlignment="1" applyProtection="1">
      <alignment horizontal="center"/>
      <protection locked="0"/>
    </xf>
    <xf numFmtId="0" fontId="0" fillId="2" borderId="0" xfId="0" applyFill="1" applyBorder="1" applyAlignment="1" applyProtection="1">
      <alignment horizontal="center" wrapText="1"/>
      <protection hidden="1"/>
    </xf>
    <xf numFmtId="0" fontId="0" fillId="0" borderId="14" xfId="0" applyBorder="1" applyAlignment="1" applyProtection="1">
      <alignment horizontal="center"/>
      <protection hidden="1"/>
    </xf>
    <xf numFmtId="0" fontId="0" fillId="0" borderId="18" xfId="0" applyBorder="1" applyAlignment="1" applyProtection="1">
      <alignment horizontal="center"/>
      <protection hidden="1"/>
    </xf>
    <xf numFmtId="0" fontId="0" fillId="0" borderId="5" xfId="0" applyBorder="1" applyAlignment="1" applyProtection="1">
      <alignment horizontal="center"/>
      <protection hidden="1"/>
    </xf>
    <xf numFmtId="0" fontId="0" fillId="0" borderId="1" xfId="0" applyBorder="1" applyAlignment="1" applyProtection="1">
      <alignment horizontal="center"/>
      <protection hidden="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6" xfId="0" applyBorder="1" applyAlignment="1" applyProtection="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pplyProtection="1">
      <alignment horizontal="left" vertical="center" wrapText="1"/>
    </xf>
    <xf numFmtId="0" fontId="0" fillId="0" borderId="7" xfId="0" applyBorder="1" applyAlignment="1" applyProtection="1">
      <alignment horizontal="left" vertical="center" wrapText="1"/>
    </xf>
    <xf numFmtId="0" fontId="0" fillId="0" borderId="8" xfId="0" applyBorder="1" applyAlignment="1" applyProtection="1">
      <alignment horizontal="left" vertical="center" wrapText="1"/>
    </xf>
    <xf numFmtId="0" fontId="0" fillId="0" borderId="9" xfId="0" applyBorder="1" applyAlignment="1" applyProtection="1">
      <alignment horizontal="left" vertical="center" wrapText="1"/>
    </xf>
    <xf numFmtId="0" fontId="0" fillId="0" borderId="0" xfId="0" applyBorder="1" applyAlignment="1" applyProtection="1">
      <alignment vertical="center" wrapText="1"/>
    </xf>
    <xf numFmtId="0" fontId="0" fillId="0" borderId="61" xfId="0" applyBorder="1" applyAlignment="1" applyProtection="1">
      <alignment horizontal="center"/>
      <protection locked="0"/>
    </xf>
    <xf numFmtId="0" fontId="0" fillId="0" borderId="62" xfId="0" applyBorder="1" applyAlignment="1" applyProtection="1">
      <alignment horizontal="center"/>
      <protection locked="0"/>
    </xf>
    <xf numFmtId="0" fontId="0" fillId="0" borderId="46" xfId="0" applyBorder="1" applyAlignment="1" applyProtection="1">
      <alignment horizontal="center"/>
      <protection locked="0"/>
    </xf>
    <xf numFmtId="0" fontId="0" fillId="0" borderId="47" xfId="0" applyBorder="1" applyAlignment="1" applyProtection="1">
      <alignment horizontal="center"/>
      <protection locked="0"/>
    </xf>
    <xf numFmtId="0" fontId="0" fillId="0" borderId="48" xfId="0" applyBorder="1" applyAlignment="1" applyProtection="1">
      <alignment horizontal="center"/>
      <protection locked="0"/>
    </xf>
    <xf numFmtId="0" fontId="0" fillId="0" borderId="45" xfId="0" applyBorder="1" applyAlignment="1" applyProtection="1">
      <alignment horizontal="center"/>
      <protection locked="0"/>
    </xf>
    <xf numFmtId="0" fontId="0" fillId="0" borderId="21" xfId="0" applyBorder="1" applyAlignment="1" applyProtection="1">
      <alignment horizontal="center"/>
      <protection locked="0"/>
    </xf>
    <xf numFmtId="0" fontId="1" fillId="0" borderId="11"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13" xfId="0" applyFont="1" applyBorder="1" applyAlignment="1" applyProtection="1">
      <alignment horizontal="center"/>
      <protection hidden="1"/>
    </xf>
    <xf numFmtId="0" fontId="0" fillId="0" borderId="7" xfId="0" applyBorder="1" applyAlignment="1" applyProtection="1">
      <alignment horizontal="center"/>
      <protection hidden="1"/>
    </xf>
    <xf numFmtId="0" fontId="0" fillId="0" borderId="8" xfId="0" applyBorder="1" applyAlignment="1" applyProtection="1">
      <alignment horizontal="center"/>
      <protection hidden="1"/>
    </xf>
    <xf numFmtId="0" fontId="0" fillId="0" borderId="0" xfId="0" applyAlignment="1">
      <alignment horizontal="left" vertical="center" wrapText="1"/>
    </xf>
    <xf numFmtId="0" fontId="0" fillId="0" borderId="47" xfId="0" applyBorder="1" applyAlignment="1">
      <alignment horizontal="left" vertical="center" wrapText="1"/>
    </xf>
    <xf numFmtId="0" fontId="0" fillId="0" borderId="49" xfId="0" applyBorder="1" applyAlignment="1">
      <alignment horizontal="left" vertical="center" wrapText="1"/>
    </xf>
    <xf numFmtId="0" fontId="0" fillId="0" borderId="45" xfId="0" applyBorder="1" applyAlignment="1">
      <alignment horizontal="left" vertical="center" wrapText="1"/>
    </xf>
    <xf numFmtId="0" fontId="1" fillId="17" borderId="38" xfId="0" applyFont="1" applyFill="1" applyBorder="1" applyAlignment="1">
      <alignment horizontal="center"/>
    </xf>
    <xf numFmtId="0" fontId="1" fillId="17" borderId="55" xfId="0" applyFont="1" applyFill="1" applyBorder="1" applyAlignment="1">
      <alignment horizontal="center"/>
    </xf>
    <xf numFmtId="0" fontId="1" fillId="9" borderId="41" xfId="0" applyFont="1" applyFill="1" applyBorder="1" applyAlignment="1">
      <alignment horizontal="center"/>
    </xf>
    <xf numFmtId="0" fontId="1" fillId="9" borderId="21" xfId="0" applyFont="1" applyFill="1" applyBorder="1" applyAlignment="1">
      <alignment horizontal="center"/>
    </xf>
    <xf numFmtId="0" fontId="1" fillId="9" borderId="19" xfId="0" applyFont="1" applyFill="1" applyBorder="1" applyAlignment="1">
      <alignment horizontal="center"/>
    </xf>
    <xf numFmtId="0" fontId="0" fillId="0" borderId="45" xfId="0" applyBorder="1"/>
    <xf numFmtId="0" fontId="12" fillId="10" borderId="0" xfId="0" applyFont="1" applyFill="1" applyBorder="1" applyAlignment="1">
      <alignment horizontal="center"/>
    </xf>
    <xf numFmtId="0" fontId="0" fillId="0" borderId="7" xfId="0" applyFill="1" applyBorder="1"/>
    <xf numFmtId="0" fontId="0" fillId="0" borderId="6" xfId="0" applyFill="1" applyBorder="1"/>
    <xf numFmtId="0" fontId="0" fillId="0" borderId="9" xfId="0" applyFill="1" applyBorder="1"/>
    <xf numFmtId="0" fontId="0" fillId="0" borderId="0" xfId="0" applyFill="1" applyBorder="1"/>
    <xf numFmtId="0" fontId="0" fillId="18" borderId="63" xfId="0" applyFill="1" applyBorder="1"/>
    <xf numFmtId="0" fontId="0" fillId="0" borderId="63" xfId="0" applyBorder="1"/>
    <xf numFmtId="0" fontId="0" fillId="18" borderId="64" xfId="0" applyFill="1" applyBorder="1"/>
    <xf numFmtId="0" fontId="0" fillId="0" borderId="2" xfId="0" applyBorder="1" applyAlignment="1">
      <alignment horizontal="center"/>
    </xf>
    <xf numFmtId="0" fontId="0" fillId="0" borderId="4" xfId="0" applyBorder="1" applyAlignment="1">
      <alignment horizontal="center"/>
    </xf>
    <xf numFmtId="0" fontId="0" fillId="21" borderId="2" xfId="0" applyFill="1" applyBorder="1"/>
    <xf numFmtId="0" fontId="0" fillId="21" borderId="5" xfId="0" applyFill="1" applyBorder="1"/>
    <xf numFmtId="0" fontId="0" fillId="21" borderId="7" xfId="0" applyFill="1" applyBorder="1"/>
    <xf numFmtId="0" fontId="0" fillId="0" borderId="16" xfId="0" applyFill="1" applyBorder="1"/>
    <xf numFmtId="0" fontId="0" fillId="0" borderId="17" xfId="0" applyFill="1" applyBorder="1"/>
    <xf numFmtId="0" fontId="0" fillId="0" borderId="54" xfId="0" applyFill="1" applyBorder="1"/>
    <xf numFmtId="0" fontId="0" fillId="0" borderId="53" xfId="0" applyFill="1" applyBorder="1"/>
    <xf numFmtId="0" fontId="0" fillId="0" borderId="51" xfId="0" applyFill="1" applyBorder="1"/>
    <xf numFmtId="0" fontId="0" fillId="18" borderId="65" xfId="0" applyFill="1" applyBorder="1"/>
    <xf numFmtId="0" fontId="0" fillId="0" borderId="66" xfId="0" applyBorder="1"/>
    <xf numFmtId="0" fontId="0" fillId="18" borderId="66" xfId="0" applyFill="1" applyBorder="1"/>
    <xf numFmtId="0" fontId="12" fillId="19" borderId="45" xfId="0" applyFont="1" applyFill="1" applyBorder="1"/>
    <xf numFmtId="0" fontId="12" fillId="19" borderId="15" xfId="0" applyFont="1" applyFill="1" applyBorder="1"/>
    <xf numFmtId="0" fontId="12" fillId="19" borderId="18" xfId="0" applyFont="1" applyFill="1" applyBorder="1"/>
    <xf numFmtId="0" fontId="12" fillId="19" borderId="48" xfId="0" applyFont="1" applyFill="1" applyBorder="1"/>
    <xf numFmtId="0" fontId="12" fillId="20" borderId="34" xfId="0" applyFont="1" applyFill="1" applyBorder="1"/>
    <xf numFmtId="0" fontId="12" fillId="20" borderId="35" xfId="0" applyFont="1" applyFill="1" applyBorder="1"/>
    <xf numFmtId="0" fontId="12" fillId="20" borderId="67" xfId="0" applyFont="1" applyFill="1" applyBorder="1"/>
    <xf numFmtId="0" fontId="0" fillId="18" borderId="68" xfId="0" applyFill="1" applyBorder="1"/>
    <xf numFmtId="0" fontId="0" fillId="18" borderId="69" xfId="0" applyFill="1" applyBorder="1"/>
    <xf numFmtId="0" fontId="0" fillId="0" borderId="11" xfId="0" applyBorder="1"/>
    <xf numFmtId="0" fontId="0" fillId="0" borderId="54" xfId="0" applyBorder="1"/>
    <xf numFmtId="0" fontId="0" fillId="0" borderId="56" xfId="0" applyBorder="1"/>
    <xf numFmtId="0" fontId="0" fillId="0" borderId="53" xfId="0" applyBorder="1"/>
    <xf numFmtId="0" fontId="12" fillId="10" borderId="71" xfId="0" applyFont="1" applyFill="1" applyBorder="1" applyAlignment="1">
      <alignment horizontal="center"/>
    </xf>
    <xf numFmtId="0" fontId="0" fillId="11" borderId="71" xfId="0" applyFill="1" applyBorder="1" applyAlignment="1">
      <alignment horizontal="center"/>
    </xf>
    <xf numFmtId="0" fontId="0" fillId="0" borderId="71" xfId="0" applyBorder="1" applyAlignment="1">
      <alignment horizontal="center"/>
    </xf>
    <xf numFmtId="0" fontId="0" fillId="21" borderId="11" xfId="0" applyFill="1" applyBorder="1"/>
    <xf numFmtId="0" fontId="0" fillId="21" borderId="12" xfId="0" applyFill="1" applyBorder="1"/>
    <xf numFmtId="0" fontId="0" fillId="21" borderId="13" xfId="0" applyFill="1" applyBorder="1"/>
    <xf numFmtId="0" fontId="0" fillId="0" borderId="6" xfId="0" applyBorder="1"/>
    <xf numFmtId="0" fontId="0" fillId="0" borderId="8" xfId="0" applyBorder="1"/>
    <xf numFmtId="0" fontId="0" fillId="0" borderId="43" xfId="0" applyBorder="1"/>
    <xf numFmtId="0" fontId="0" fillId="0" borderId="0" xfId="0" applyNumberFormat="1"/>
    <xf numFmtId="0" fontId="0" fillId="0" borderId="72" xfId="0" applyBorder="1" applyAlignment="1">
      <alignment horizontal="center"/>
    </xf>
    <xf numFmtId="0" fontId="0" fillId="0" borderId="0" xfId="0" applyNumberFormat="1" applyBorder="1"/>
    <xf numFmtId="0" fontId="0" fillId="21" borderId="38" xfId="0" applyFill="1" applyBorder="1" applyAlignment="1">
      <alignment horizontal="center"/>
    </xf>
    <xf numFmtId="0" fontId="0" fillId="0" borderId="57" xfId="0" applyBorder="1" applyAlignment="1">
      <alignment horizontal="center"/>
    </xf>
    <xf numFmtId="0" fontId="0" fillId="0" borderId="74" xfId="0" applyBorder="1" applyAlignment="1">
      <alignment horizontal="center"/>
    </xf>
    <xf numFmtId="0" fontId="12" fillId="10" borderId="0" xfId="0" applyFont="1" applyFill="1" applyAlignment="1">
      <alignment horizontal="center"/>
    </xf>
    <xf numFmtId="0" fontId="0" fillId="0" borderId="56" xfId="0" applyFill="1" applyBorder="1" applyAlignment="1"/>
    <xf numFmtId="0" fontId="3" fillId="0" borderId="75" xfId="0" applyFont="1" applyFill="1" applyBorder="1" applyAlignment="1">
      <alignment horizontal="center"/>
    </xf>
    <xf numFmtId="0" fontId="3" fillId="0" borderId="75" xfId="0" applyFont="1" applyFill="1" applyBorder="1" applyAlignment="1">
      <alignment horizontal="centerContinuous"/>
    </xf>
    <xf numFmtId="0" fontId="0" fillId="23" borderId="0" xfId="0" applyFill="1"/>
    <xf numFmtId="166" fontId="0" fillId="22" borderId="73" xfId="0" applyNumberFormat="1" applyFont="1" applyFill="1" applyBorder="1" applyAlignment="1">
      <alignment horizontal="center"/>
    </xf>
    <xf numFmtId="0" fontId="12" fillId="10" borderId="58" xfId="0" applyFont="1" applyFill="1" applyBorder="1" applyAlignment="1">
      <alignment horizontal="center"/>
    </xf>
    <xf numFmtId="0" fontId="12" fillId="10" borderId="59" xfId="0" applyFont="1" applyFill="1" applyBorder="1" applyAlignment="1">
      <alignment horizontal="center"/>
    </xf>
    <xf numFmtId="0" fontId="0" fillId="3" borderId="60" xfId="0" applyFill="1" applyBorder="1" applyAlignment="1">
      <alignment horizontal="center"/>
    </xf>
    <xf numFmtId="0" fontId="0" fillId="3" borderId="23" xfId="0" applyFill="1" applyBorder="1" applyAlignment="1">
      <alignment horizontal="center"/>
    </xf>
    <xf numFmtId="0" fontId="0" fillId="11" borderId="60" xfId="0" applyFill="1" applyBorder="1" applyAlignment="1">
      <alignment horizontal="center"/>
    </xf>
    <xf numFmtId="0" fontId="0" fillId="11" borderId="23" xfId="0" applyFill="1" applyBorder="1" applyAlignment="1">
      <alignment horizontal="center"/>
    </xf>
    <xf numFmtId="0" fontId="0" fillId="11" borderId="76" xfId="0" applyFill="1" applyBorder="1" applyAlignment="1">
      <alignment horizontal="center"/>
    </xf>
    <xf numFmtId="0" fontId="0" fillId="11" borderId="70" xfId="0" applyFill="1" applyBorder="1" applyAlignment="1">
      <alignment horizontal="center"/>
    </xf>
    <xf numFmtId="0" fontId="0" fillId="11" borderId="1" xfId="0" applyFill="1" applyBorder="1" applyAlignment="1">
      <alignment horizontal="center" vertical="center"/>
    </xf>
    <xf numFmtId="0" fontId="0" fillId="0" borderId="1" xfId="0" applyBorder="1" applyAlignment="1">
      <alignment horizontal="center" vertical="center"/>
    </xf>
    <xf numFmtId="0" fontId="1" fillId="25" borderId="18" xfId="0" applyFont="1" applyFill="1" applyBorder="1"/>
    <xf numFmtId="2" fontId="0" fillId="0" borderId="0" xfId="0" applyNumberFormat="1"/>
    <xf numFmtId="0" fontId="0" fillId="5" borderId="2" xfId="0" applyFill="1" applyBorder="1"/>
    <xf numFmtId="9" fontId="0" fillId="25" borderId="4" xfId="0" applyNumberFormat="1" applyFill="1" applyBorder="1"/>
    <xf numFmtId="0" fontId="0" fillId="5" borderId="5" xfId="0" applyFill="1" applyBorder="1"/>
    <xf numFmtId="2" fontId="0" fillId="25" borderId="6" xfId="0" applyNumberFormat="1" applyFill="1" applyBorder="1"/>
    <xf numFmtId="0" fontId="0" fillId="25" borderId="6" xfId="0" applyFill="1" applyBorder="1"/>
    <xf numFmtId="0" fontId="0" fillId="5" borderId="7" xfId="0" applyFill="1" applyBorder="1"/>
    <xf numFmtId="167" fontId="0" fillId="25" borderId="9" xfId="0" applyNumberFormat="1" applyFill="1" applyBorder="1"/>
    <xf numFmtId="0" fontId="17" fillId="0" borderId="0" xfId="0" applyFont="1" applyBorder="1"/>
    <xf numFmtId="0" fontId="0" fillId="24" borderId="62" xfId="0" applyFill="1" applyBorder="1" applyAlignment="1">
      <alignment horizontal="center"/>
    </xf>
    <xf numFmtId="0" fontId="1" fillId="24" borderId="32" xfId="0" applyFont="1" applyFill="1" applyBorder="1" applyAlignment="1">
      <alignment horizontal="center"/>
    </xf>
    <xf numFmtId="0" fontId="0" fillId="25" borderId="32" xfId="0" applyNumberFormat="1" applyFill="1" applyBorder="1"/>
    <xf numFmtId="0" fontId="0" fillId="25" borderId="32" xfId="0" applyFill="1" applyBorder="1"/>
    <xf numFmtId="0" fontId="0" fillId="25" borderId="61" xfId="0" applyFill="1" applyBorder="1"/>
    <xf numFmtId="0" fontId="12" fillId="10" borderId="74" xfId="0" applyFont="1" applyFill="1" applyBorder="1" applyAlignment="1">
      <alignment wrapText="1"/>
    </xf>
    <xf numFmtId="0" fontId="0" fillId="11" borderId="19" xfId="0" applyFill="1" applyBorder="1" applyAlignment="1">
      <alignment horizontal="center" vertical="center"/>
    </xf>
    <xf numFmtId="0" fontId="0" fillId="0" borderId="19" xfId="0" applyBorder="1" applyAlignment="1">
      <alignment horizontal="center" vertical="center"/>
    </xf>
    <xf numFmtId="0" fontId="0" fillId="0" borderId="62" xfId="0" applyBorder="1" applyAlignment="1">
      <alignment horizontal="center" vertical="center"/>
    </xf>
    <xf numFmtId="0" fontId="0" fillId="0" borderId="32" xfId="0" applyBorder="1" applyAlignment="1">
      <alignment horizontal="center" vertical="center"/>
    </xf>
    <xf numFmtId="0" fontId="20" fillId="11" borderId="0" xfId="0" applyFont="1" applyFill="1" applyAlignment="1">
      <alignment horizontal="center" vertical="center"/>
    </xf>
    <xf numFmtId="0" fontId="20" fillId="0" borderId="0" xfId="0" applyFont="1" applyAlignment="1">
      <alignment horizontal="center" vertical="center"/>
    </xf>
    <xf numFmtId="0" fontId="20" fillId="0" borderId="78" xfId="0" applyFont="1" applyBorder="1" applyAlignment="1">
      <alignment horizontal="center" vertical="center"/>
    </xf>
    <xf numFmtId="0" fontId="12" fillId="0" borderId="77" xfId="0" applyFont="1" applyBorder="1" applyAlignment="1">
      <alignment horizontal="center" vertical="center"/>
    </xf>
    <xf numFmtId="0" fontId="0" fillId="5" borderId="11" xfId="0" applyFill="1" applyBorder="1"/>
    <xf numFmtId="0" fontId="0" fillId="5" borderId="13" xfId="0" applyFill="1" applyBorder="1"/>
    <xf numFmtId="0" fontId="0" fillId="0" borderId="38" xfId="0" applyBorder="1"/>
    <xf numFmtId="0" fontId="0" fillId="0" borderId="55" xfId="0" applyBorder="1"/>
    <xf numFmtId="0" fontId="0" fillId="5" borderId="51" xfId="0" applyFill="1" applyBorder="1"/>
    <xf numFmtId="0" fontId="0" fillId="5" borderId="52" xfId="0" applyFill="1" applyBorder="1"/>
    <xf numFmtId="0" fontId="0" fillId="0" borderId="13" xfId="0" applyFill="1" applyBorder="1"/>
    <xf numFmtId="168" fontId="0" fillId="0" borderId="0" xfId="0" applyNumberFormat="1"/>
    <xf numFmtId="0" fontId="0" fillId="0" borderId="18" xfId="0" applyBorder="1" applyAlignment="1">
      <alignment horizontal="center"/>
    </xf>
    <xf numFmtId="0" fontId="0" fillId="0" borderId="32" xfId="0" applyBorder="1" applyAlignment="1">
      <alignment horizontal="center"/>
    </xf>
    <xf numFmtId="0" fontId="3" fillId="0" borderId="75" xfId="0" applyFont="1" applyBorder="1" applyAlignment="1">
      <alignment horizontal="centerContinuous"/>
    </xf>
    <xf numFmtId="0" fontId="3" fillId="0" borderId="75" xfId="0" applyFont="1" applyBorder="1" applyAlignment="1">
      <alignment horizontal="center"/>
    </xf>
    <xf numFmtId="0" fontId="3" fillId="0" borderId="0" xfId="0" applyFont="1" applyAlignment="1">
      <alignment horizontal="center"/>
    </xf>
  </cellXfs>
  <cellStyles count="2">
    <cellStyle name="Normal" xfId="0" builtinId="0"/>
    <cellStyle name="Percent" xfId="1" builtinId="5"/>
  </cellStyles>
  <dxfs count="151">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Calibri"/>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diagonalUp="0" diagonalDown="0">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style="thin">
          <color theme="0"/>
        </right>
        <top style="thin">
          <color theme="0"/>
        </top>
        <bottom style="thin">
          <color theme="0"/>
        </bottom>
        <vertical/>
        <horizontal/>
      </border>
    </dxf>
    <dxf>
      <border diagonalUp="0" diagonalDown="0">
        <left style="medium">
          <color indexed="64"/>
        </left>
        <right style="medium">
          <color indexed="64"/>
        </right>
        <top style="medium">
          <color indexed="64"/>
        </top>
        <bottom style="medium">
          <color indexed="64"/>
        </bottom>
      </border>
    </dxf>
    <dxf>
      <numFmt numFmtId="0" formatCode="Genera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0" formatCode="Genera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medium">
          <color auto="1"/>
        </left>
        <right/>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9" tint="0.79998168889431442"/>
          <bgColor theme="9" tint="0.79998168889431442"/>
        </patternFill>
      </fill>
      <border diagonalUp="0" diagonalDown="0">
        <left/>
        <right style="medium">
          <color indexed="64"/>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left style="medium">
          <color indexed="64"/>
        </left>
        <right style="medium">
          <color indexed="64"/>
        </right>
        <top style="medium">
          <color auto="1"/>
        </top>
        <bottom style="medium">
          <color indexed="64"/>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Actual days v/s</a:t>
            </a:r>
            <a:r>
              <a:rPr lang="en-US" sz="1800" b="1" baseline="0"/>
              <a:t> Predicted days</a:t>
            </a:r>
            <a:r>
              <a:rPr lang="en-US" sz="1800" b="1"/>
              <a:t> Plot against Weight Loss</a:t>
            </a:r>
          </a:p>
        </c:rich>
      </c:tx>
      <c:layout>
        <c:manualLayout>
          <c:xMode val="edge"/>
          <c:yMode val="edge"/>
          <c:x val="0.29654426836833797"/>
          <c:y val="1.46328747117712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6080627890730251E-2"/>
          <c:y val="5.1215061491199393E-2"/>
          <c:w val="0.92783874421853951"/>
          <c:h val="0.79121307395506724"/>
        </c:manualLayout>
      </c:layout>
      <c:lineChart>
        <c:grouping val="stacked"/>
        <c:varyColors val="0"/>
        <c:ser>
          <c:idx val="1"/>
          <c:order val="1"/>
          <c:tx>
            <c:strRef>
              <c:f>'Linear Regression'!$G$67</c:f>
              <c:strCache>
                <c:ptCount val="1"/>
                <c:pt idx="0">
                  <c:v>Y' = β0 + β1*x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'Linear Regression'!$E$68:$E$91</c:f>
              <c:numCache>
                <c:formatCode>General</c:formatCode>
                <c:ptCount val="24"/>
                <c:pt idx="0">
                  <c:v>0</c:v>
                </c:pt>
                <c:pt idx="1">
                  <c:v>1.5</c:v>
                </c:pt>
                <c:pt idx="2">
                  <c:v>3.1</c:v>
                </c:pt>
                <c:pt idx="3">
                  <c:v>3.7</c:v>
                </c:pt>
                <c:pt idx="4">
                  <c:v>4.8</c:v>
                </c:pt>
                <c:pt idx="5">
                  <c:v>5.4</c:v>
                </c:pt>
                <c:pt idx="6">
                  <c:v>5.5</c:v>
                </c:pt>
                <c:pt idx="7">
                  <c:v>6.7</c:v>
                </c:pt>
                <c:pt idx="8">
                  <c:v>6.8</c:v>
                </c:pt>
                <c:pt idx="9">
                  <c:v>7.1</c:v>
                </c:pt>
                <c:pt idx="10">
                  <c:v>8.5</c:v>
                </c:pt>
                <c:pt idx="11">
                  <c:v>10.1</c:v>
                </c:pt>
                <c:pt idx="12">
                  <c:v>10.1</c:v>
                </c:pt>
                <c:pt idx="13">
                  <c:v>10.3</c:v>
                </c:pt>
                <c:pt idx="14">
                  <c:v>10.3</c:v>
                </c:pt>
                <c:pt idx="15">
                  <c:v>10.4</c:v>
                </c:pt>
                <c:pt idx="16">
                  <c:v>10.5</c:v>
                </c:pt>
                <c:pt idx="17">
                  <c:v>11</c:v>
                </c:pt>
                <c:pt idx="18">
                  <c:v>11.1</c:v>
                </c:pt>
                <c:pt idx="19">
                  <c:v>11.4</c:v>
                </c:pt>
                <c:pt idx="20">
                  <c:v>11.8</c:v>
                </c:pt>
                <c:pt idx="21">
                  <c:v>11.9</c:v>
                </c:pt>
                <c:pt idx="22">
                  <c:v>13.9</c:v>
                </c:pt>
                <c:pt idx="23">
                  <c:v>14.7</c:v>
                </c:pt>
              </c:numCache>
            </c:numRef>
          </c:cat>
          <c:val>
            <c:numRef>
              <c:f>'Linear Regression'!$G$68:$G$91</c:f>
              <c:numCache>
                <c:formatCode>General</c:formatCode>
                <c:ptCount val="24"/>
                <c:pt idx="0">
                  <c:v>4.2529099896356497</c:v>
                </c:pt>
                <c:pt idx="1">
                  <c:v>11.276199872438809</c:v>
                </c:pt>
                <c:pt idx="2">
                  <c:v>23.449902335964282</c:v>
                </c:pt>
                <c:pt idx="3">
                  <c:v>21.577025033883441</c:v>
                </c:pt>
                <c:pt idx="4">
                  <c:v>26.727437614605755</c:v>
                </c:pt>
                <c:pt idx="5">
                  <c:v>29.536753567727022</c:v>
                </c:pt>
                <c:pt idx="6">
                  <c:v>30.004972893247231</c:v>
                </c:pt>
                <c:pt idx="7">
                  <c:v>35.623604799489755</c:v>
                </c:pt>
                <c:pt idx="8">
                  <c:v>36.091824125009964</c:v>
                </c:pt>
                <c:pt idx="9">
                  <c:v>37.496482101570592</c:v>
                </c:pt>
                <c:pt idx="10">
                  <c:v>44.051552658853545</c:v>
                </c:pt>
                <c:pt idx="11">
                  <c:v>51.54306186717691</c:v>
                </c:pt>
                <c:pt idx="12">
                  <c:v>51.54306186717691</c:v>
                </c:pt>
                <c:pt idx="13">
                  <c:v>52.479500518217336</c:v>
                </c:pt>
                <c:pt idx="14">
                  <c:v>52.479500518217336</c:v>
                </c:pt>
                <c:pt idx="15">
                  <c:v>52.947719843737545</c:v>
                </c:pt>
                <c:pt idx="16">
                  <c:v>53.415939169257754</c:v>
                </c:pt>
                <c:pt idx="17">
                  <c:v>55.757035796858808</c:v>
                </c:pt>
                <c:pt idx="18">
                  <c:v>56.225255122379018</c:v>
                </c:pt>
                <c:pt idx="19">
                  <c:v>57.629913098939653</c:v>
                </c:pt>
                <c:pt idx="20">
                  <c:v>59.502790401020498</c:v>
                </c:pt>
                <c:pt idx="21">
                  <c:v>59.971009726540707</c:v>
                </c:pt>
                <c:pt idx="22">
                  <c:v>69.335396236944916</c:v>
                </c:pt>
                <c:pt idx="23">
                  <c:v>73.081150841106606</c:v>
                </c:pt>
              </c:numCache>
            </c:numRef>
          </c:val>
          <c:smooth val="0"/>
          <c:extLst>
            <c:ext xmlns:c16="http://schemas.microsoft.com/office/drawing/2014/chart" uri="{C3380CC4-5D6E-409C-BE32-E72D297353CC}">
              <c16:uniqueId val="{00000009-1839-403E-A347-B6C741F4A180}"/>
            </c:ext>
          </c:extLst>
        </c:ser>
        <c:dLbls>
          <c:showLegendKey val="0"/>
          <c:showVal val="0"/>
          <c:showCatName val="0"/>
          <c:showSerName val="0"/>
          <c:showPercent val="0"/>
          <c:showBubbleSize val="0"/>
        </c:dLbls>
        <c:marker val="1"/>
        <c:smooth val="0"/>
        <c:axId val="921373784"/>
        <c:axId val="921378376"/>
      </c:lineChart>
      <c:lineChart>
        <c:grouping val="stacked"/>
        <c:varyColors val="0"/>
        <c:ser>
          <c:idx val="0"/>
          <c:order val="0"/>
          <c:tx>
            <c:strRef>
              <c:f>'Linear Regression'!$F$67</c:f>
              <c:strCache>
                <c:ptCount val="1"/>
                <c:pt idx="0">
                  <c:v>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Regression'!$E$68:$E$91</c:f>
              <c:numCache>
                <c:formatCode>General</c:formatCode>
                <c:ptCount val="24"/>
                <c:pt idx="0">
                  <c:v>0</c:v>
                </c:pt>
                <c:pt idx="1">
                  <c:v>1.5</c:v>
                </c:pt>
                <c:pt idx="2">
                  <c:v>3.1</c:v>
                </c:pt>
                <c:pt idx="3">
                  <c:v>3.7</c:v>
                </c:pt>
                <c:pt idx="4">
                  <c:v>4.8</c:v>
                </c:pt>
                <c:pt idx="5">
                  <c:v>5.4</c:v>
                </c:pt>
                <c:pt idx="6">
                  <c:v>5.5</c:v>
                </c:pt>
                <c:pt idx="7">
                  <c:v>6.7</c:v>
                </c:pt>
                <c:pt idx="8">
                  <c:v>6.8</c:v>
                </c:pt>
                <c:pt idx="9">
                  <c:v>7.1</c:v>
                </c:pt>
                <c:pt idx="10">
                  <c:v>8.5</c:v>
                </c:pt>
                <c:pt idx="11">
                  <c:v>10.1</c:v>
                </c:pt>
                <c:pt idx="12">
                  <c:v>10.1</c:v>
                </c:pt>
                <c:pt idx="13">
                  <c:v>10.3</c:v>
                </c:pt>
                <c:pt idx="14">
                  <c:v>10.3</c:v>
                </c:pt>
                <c:pt idx="15">
                  <c:v>10.4</c:v>
                </c:pt>
                <c:pt idx="16">
                  <c:v>10.5</c:v>
                </c:pt>
                <c:pt idx="17">
                  <c:v>11</c:v>
                </c:pt>
                <c:pt idx="18">
                  <c:v>11.1</c:v>
                </c:pt>
                <c:pt idx="19">
                  <c:v>11.4</c:v>
                </c:pt>
                <c:pt idx="20">
                  <c:v>11.8</c:v>
                </c:pt>
                <c:pt idx="21">
                  <c:v>11.9</c:v>
                </c:pt>
                <c:pt idx="22">
                  <c:v>13.9</c:v>
                </c:pt>
                <c:pt idx="23">
                  <c:v>14.7</c:v>
                </c:pt>
              </c:numCache>
            </c:numRef>
          </c:cat>
          <c:val>
            <c:numRef>
              <c:f>'Linear Regression'!$F$68:$F$91</c:f>
              <c:numCache>
                <c:formatCode>0</c:formatCode>
                <c:ptCount val="24"/>
                <c:pt idx="0">
                  <c:v>5</c:v>
                </c:pt>
                <c:pt idx="1">
                  <c:v>11</c:v>
                </c:pt>
                <c:pt idx="2">
                  <c:v>27</c:v>
                </c:pt>
                <c:pt idx="3">
                  <c:v>29</c:v>
                </c:pt>
                <c:pt idx="4">
                  <c:v>25</c:v>
                </c:pt>
                <c:pt idx="5">
                  <c:v>28</c:v>
                </c:pt>
                <c:pt idx="6">
                  <c:v>26</c:v>
                </c:pt>
                <c:pt idx="7">
                  <c:v>30</c:v>
                </c:pt>
                <c:pt idx="8">
                  <c:v>40</c:v>
                </c:pt>
                <c:pt idx="9">
                  <c:v>41</c:v>
                </c:pt>
                <c:pt idx="10">
                  <c:v>36</c:v>
                </c:pt>
                <c:pt idx="11">
                  <c:v>49</c:v>
                </c:pt>
                <c:pt idx="12">
                  <c:v>42</c:v>
                </c:pt>
                <c:pt idx="13">
                  <c:v>60</c:v>
                </c:pt>
                <c:pt idx="14">
                  <c:v>60</c:v>
                </c:pt>
                <c:pt idx="15">
                  <c:v>53</c:v>
                </c:pt>
                <c:pt idx="16">
                  <c:v>51</c:v>
                </c:pt>
                <c:pt idx="17">
                  <c:v>55</c:v>
                </c:pt>
                <c:pt idx="18">
                  <c:v>53</c:v>
                </c:pt>
                <c:pt idx="19">
                  <c:v>55</c:v>
                </c:pt>
                <c:pt idx="20">
                  <c:v>48</c:v>
                </c:pt>
                <c:pt idx="21">
                  <c:v>67</c:v>
                </c:pt>
                <c:pt idx="22">
                  <c:v>75</c:v>
                </c:pt>
                <c:pt idx="23">
                  <c:v>79</c:v>
                </c:pt>
              </c:numCache>
            </c:numRef>
          </c:val>
          <c:smooth val="0"/>
          <c:extLst>
            <c:ext xmlns:c16="http://schemas.microsoft.com/office/drawing/2014/chart" uri="{C3380CC4-5D6E-409C-BE32-E72D297353CC}">
              <c16:uniqueId val="{00000008-1839-403E-A347-B6C741F4A180}"/>
            </c:ext>
          </c:extLst>
        </c:ser>
        <c:dLbls>
          <c:showLegendKey val="0"/>
          <c:showVal val="0"/>
          <c:showCatName val="0"/>
          <c:showSerName val="0"/>
          <c:showPercent val="0"/>
          <c:showBubbleSize val="0"/>
        </c:dLbls>
        <c:marker val="1"/>
        <c:smooth val="0"/>
        <c:axId val="1238038200"/>
        <c:axId val="1238036560"/>
      </c:lineChart>
      <c:catAx>
        <c:axId val="921373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378376"/>
        <c:crosses val="autoZero"/>
        <c:auto val="1"/>
        <c:lblAlgn val="ctr"/>
        <c:lblOffset val="100"/>
        <c:noMultiLvlLbl val="0"/>
      </c:catAx>
      <c:valAx>
        <c:axId val="921378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373784"/>
        <c:crosses val="autoZero"/>
        <c:crossBetween val="between"/>
      </c:valAx>
      <c:valAx>
        <c:axId val="123803656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038200"/>
        <c:crosses val="max"/>
        <c:crossBetween val="between"/>
      </c:valAx>
      <c:catAx>
        <c:axId val="1238038200"/>
        <c:scaling>
          <c:orientation val="minMax"/>
        </c:scaling>
        <c:delete val="1"/>
        <c:axPos val="b"/>
        <c:numFmt formatCode="General" sourceLinked="1"/>
        <c:majorTickMark val="out"/>
        <c:minorTickMark val="none"/>
        <c:tickLblPos val="nextTo"/>
        <c:crossAx val="123803656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Linear Regression Line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 Regression'!$L$22</c:f>
              <c:strCache>
                <c:ptCount val="1"/>
                <c:pt idx="0">
                  <c:v>y</c:v>
                </c:pt>
              </c:strCache>
            </c:strRef>
          </c:tx>
          <c:spPr>
            <a:ln w="28575" cap="rnd">
              <a:noFill/>
              <a:round/>
            </a:ln>
            <a:effectLst/>
          </c:spPr>
          <c:marker>
            <c:symbol val="circle"/>
            <c:size val="5"/>
            <c:spPr>
              <a:solidFill>
                <a:schemeClr val="accent1"/>
              </a:solidFill>
              <a:ln w="9525">
                <a:solidFill>
                  <a:schemeClr val="accent1"/>
                </a:solidFill>
              </a:ln>
              <a:effectLst/>
            </c:spPr>
          </c:marker>
          <c:xVal>
            <c:numRef>
              <c:f>'Linear Regression'!$K$23:$K$46</c:f>
              <c:numCache>
                <c:formatCode>General</c:formatCode>
                <c:ptCount val="24"/>
                <c:pt idx="0">
                  <c:v>5.5</c:v>
                </c:pt>
                <c:pt idx="1">
                  <c:v>10.1</c:v>
                </c:pt>
                <c:pt idx="2">
                  <c:v>11.1</c:v>
                </c:pt>
                <c:pt idx="3">
                  <c:v>6.7</c:v>
                </c:pt>
                <c:pt idx="4">
                  <c:v>1.5</c:v>
                </c:pt>
                <c:pt idx="5">
                  <c:v>10.5</c:v>
                </c:pt>
                <c:pt idx="6">
                  <c:v>11.9</c:v>
                </c:pt>
                <c:pt idx="7">
                  <c:v>0</c:v>
                </c:pt>
                <c:pt idx="8">
                  <c:v>6.8</c:v>
                </c:pt>
                <c:pt idx="9">
                  <c:v>7.1</c:v>
                </c:pt>
                <c:pt idx="10">
                  <c:v>8.5</c:v>
                </c:pt>
                <c:pt idx="11">
                  <c:v>11.4</c:v>
                </c:pt>
                <c:pt idx="12">
                  <c:v>10.1</c:v>
                </c:pt>
                <c:pt idx="13">
                  <c:v>13.9</c:v>
                </c:pt>
                <c:pt idx="14">
                  <c:v>11.8</c:v>
                </c:pt>
                <c:pt idx="15">
                  <c:v>5.4</c:v>
                </c:pt>
                <c:pt idx="16">
                  <c:v>4.8</c:v>
                </c:pt>
                <c:pt idx="17">
                  <c:v>10.4</c:v>
                </c:pt>
                <c:pt idx="18">
                  <c:v>10.3</c:v>
                </c:pt>
                <c:pt idx="19">
                  <c:v>3.7</c:v>
                </c:pt>
                <c:pt idx="20">
                  <c:v>10.3</c:v>
                </c:pt>
                <c:pt idx="21">
                  <c:v>11</c:v>
                </c:pt>
                <c:pt idx="22">
                  <c:v>14.7</c:v>
                </c:pt>
                <c:pt idx="23">
                  <c:v>4.0999999999999996</c:v>
                </c:pt>
              </c:numCache>
            </c:numRef>
          </c:xVal>
          <c:yVal>
            <c:numRef>
              <c:f>'Linear Regression'!$L$23:$L$46</c:f>
              <c:numCache>
                <c:formatCode>0</c:formatCode>
                <c:ptCount val="24"/>
                <c:pt idx="0">
                  <c:v>26</c:v>
                </c:pt>
                <c:pt idx="1">
                  <c:v>49</c:v>
                </c:pt>
                <c:pt idx="2">
                  <c:v>53</c:v>
                </c:pt>
                <c:pt idx="3">
                  <c:v>30</c:v>
                </c:pt>
                <c:pt idx="4">
                  <c:v>11</c:v>
                </c:pt>
                <c:pt idx="5">
                  <c:v>51</c:v>
                </c:pt>
                <c:pt idx="6">
                  <c:v>67</c:v>
                </c:pt>
                <c:pt idx="7">
                  <c:v>5</c:v>
                </c:pt>
                <c:pt idx="8">
                  <c:v>40</c:v>
                </c:pt>
                <c:pt idx="9">
                  <c:v>41</c:v>
                </c:pt>
                <c:pt idx="10">
                  <c:v>36</c:v>
                </c:pt>
                <c:pt idx="11">
                  <c:v>55</c:v>
                </c:pt>
                <c:pt idx="12">
                  <c:v>42</c:v>
                </c:pt>
                <c:pt idx="13">
                  <c:v>75</c:v>
                </c:pt>
                <c:pt idx="14">
                  <c:v>48</c:v>
                </c:pt>
                <c:pt idx="15">
                  <c:v>28</c:v>
                </c:pt>
                <c:pt idx="16">
                  <c:v>25</c:v>
                </c:pt>
                <c:pt idx="17">
                  <c:v>53</c:v>
                </c:pt>
                <c:pt idx="18">
                  <c:v>60</c:v>
                </c:pt>
                <c:pt idx="19">
                  <c:v>29</c:v>
                </c:pt>
                <c:pt idx="20">
                  <c:v>60</c:v>
                </c:pt>
                <c:pt idx="21">
                  <c:v>55</c:v>
                </c:pt>
                <c:pt idx="22">
                  <c:v>79</c:v>
                </c:pt>
                <c:pt idx="23">
                  <c:v>28</c:v>
                </c:pt>
              </c:numCache>
            </c:numRef>
          </c:yVal>
          <c:smooth val="0"/>
          <c:extLst>
            <c:ext xmlns:c16="http://schemas.microsoft.com/office/drawing/2014/chart" uri="{C3380CC4-5D6E-409C-BE32-E72D297353CC}">
              <c16:uniqueId val="{00000000-19EB-42F7-B321-8E96E2F058B0}"/>
            </c:ext>
          </c:extLst>
        </c:ser>
        <c:ser>
          <c:idx val="1"/>
          <c:order val="1"/>
          <c:tx>
            <c:strRef>
              <c:f>'Linear Regression'!$Q$22</c:f>
              <c:strCache>
                <c:ptCount val="1"/>
                <c:pt idx="0">
                  <c:v>Y' = β0 + β1*x</c:v>
                </c:pt>
              </c:strCache>
            </c:strRef>
          </c:tx>
          <c:spPr>
            <a:ln w="19050" cap="rnd">
              <a:solidFill>
                <a:schemeClr val="accent4">
                  <a:lumMod val="60000"/>
                  <a:lumOff val="40000"/>
                </a:schemeClr>
              </a:solidFill>
              <a:round/>
            </a:ln>
            <a:effectLst/>
          </c:spPr>
          <c:marker>
            <c:symbol val="circle"/>
            <c:size val="5"/>
            <c:spPr>
              <a:solidFill>
                <a:schemeClr val="accent2"/>
              </a:solidFill>
              <a:ln w="9525">
                <a:solidFill>
                  <a:schemeClr val="accent2"/>
                </a:solidFill>
              </a:ln>
              <a:effectLst/>
            </c:spPr>
          </c:marker>
          <c:xVal>
            <c:numRef>
              <c:f>'Linear Regression'!$K$23:$K$46</c:f>
              <c:numCache>
                <c:formatCode>General</c:formatCode>
                <c:ptCount val="24"/>
                <c:pt idx="0">
                  <c:v>5.5</c:v>
                </c:pt>
                <c:pt idx="1">
                  <c:v>10.1</c:v>
                </c:pt>
                <c:pt idx="2">
                  <c:v>11.1</c:v>
                </c:pt>
                <c:pt idx="3">
                  <c:v>6.7</c:v>
                </c:pt>
                <c:pt idx="4">
                  <c:v>1.5</c:v>
                </c:pt>
                <c:pt idx="5">
                  <c:v>10.5</c:v>
                </c:pt>
                <c:pt idx="6">
                  <c:v>11.9</c:v>
                </c:pt>
                <c:pt idx="7">
                  <c:v>0</c:v>
                </c:pt>
                <c:pt idx="8">
                  <c:v>6.8</c:v>
                </c:pt>
                <c:pt idx="9">
                  <c:v>7.1</c:v>
                </c:pt>
                <c:pt idx="10">
                  <c:v>8.5</c:v>
                </c:pt>
                <c:pt idx="11">
                  <c:v>11.4</c:v>
                </c:pt>
                <c:pt idx="12">
                  <c:v>10.1</c:v>
                </c:pt>
                <c:pt idx="13">
                  <c:v>13.9</c:v>
                </c:pt>
                <c:pt idx="14">
                  <c:v>11.8</c:v>
                </c:pt>
                <c:pt idx="15">
                  <c:v>5.4</c:v>
                </c:pt>
                <c:pt idx="16">
                  <c:v>4.8</c:v>
                </c:pt>
                <c:pt idx="17">
                  <c:v>10.4</c:v>
                </c:pt>
                <c:pt idx="18">
                  <c:v>10.3</c:v>
                </c:pt>
                <c:pt idx="19">
                  <c:v>3.7</c:v>
                </c:pt>
                <c:pt idx="20">
                  <c:v>10.3</c:v>
                </c:pt>
                <c:pt idx="21">
                  <c:v>11</c:v>
                </c:pt>
                <c:pt idx="22">
                  <c:v>14.7</c:v>
                </c:pt>
                <c:pt idx="23">
                  <c:v>4.0999999999999996</c:v>
                </c:pt>
              </c:numCache>
            </c:numRef>
          </c:xVal>
          <c:yVal>
            <c:numRef>
              <c:f>'Linear Regression'!$Q$23:$Q$46</c:f>
              <c:numCache>
                <c:formatCode>General</c:formatCode>
                <c:ptCount val="24"/>
                <c:pt idx="0">
                  <c:v>30.004972893247231</c:v>
                </c:pt>
                <c:pt idx="1">
                  <c:v>51.54306186717691</c:v>
                </c:pt>
                <c:pt idx="2">
                  <c:v>56.225255122379018</c:v>
                </c:pt>
                <c:pt idx="3">
                  <c:v>35.623604799489755</c:v>
                </c:pt>
                <c:pt idx="4">
                  <c:v>11.276199872438809</c:v>
                </c:pt>
                <c:pt idx="5">
                  <c:v>53.415939169257754</c:v>
                </c:pt>
                <c:pt idx="6">
                  <c:v>59.971009726540707</c:v>
                </c:pt>
                <c:pt idx="7">
                  <c:v>4.2529099896356497</c:v>
                </c:pt>
                <c:pt idx="8">
                  <c:v>36.091824125009964</c:v>
                </c:pt>
                <c:pt idx="9">
                  <c:v>37.496482101570592</c:v>
                </c:pt>
                <c:pt idx="10">
                  <c:v>44.051552658853545</c:v>
                </c:pt>
                <c:pt idx="11">
                  <c:v>57.629913098939653</c:v>
                </c:pt>
                <c:pt idx="12">
                  <c:v>51.54306186717691</c:v>
                </c:pt>
                <c:pt idx="13">
                  <c:v>69.335396236944916</c:v>
                </c:pt>
                <c:pt idx="14">
                  <c:v>59.502790401020498</c:v>
                </c:pt>
                <c:pt idx="15">
                  <c:v>29.536753567727022</c:v>
                </c:pt>
                <c:pt idx="16">
                  <c:v>26.727437614605755</c:v>
                </c:pt>
                <c:pt idx="17">
                  <c:v>52.947719843737545</c:v>
                </c:pt>
                <c:pt idx="18">
                  <c:v>52.479500518217336</c:v>
                </c:pt>
                <c:pt idx="19">
                  <c:v>21.577025033883441</c:v>
                </c:pt>
                <c:pt idx="20">
                  <c:v>52.479500518217336</c:v>
                </c:pt>
                <c:pt idx="21">
                  <c:v>55.757035796858808</c:v>
                </c:pt>
                <c:pt idx="22">
                  <c:v>73.081150841106606</c:v>
                </c:pt>
                <c:pt idx="23">
                  <c:v>23.449902335964282</c:v>
                </c:pt>
              </c:numCache>
            </c:numRef>
          </c:yVal>
          <c:smooth val="0"/>
          <c:extLst>
            <c:ext xmlns:c16="http://schemas.microsoft.com/office/drawing/2014/chart" uri="{C3380CC4-5D6E-409C-BE32-E72D297353CC}">
              <c16:uniqueId val="{00000001-19EB-42F7-B321-8E96E2F058B0}"/>
            </c:ext>
          </c:extLst>
        </c:ser>
        <c:dLbls>
          <c:showLegendKey val="0"/>
          <c:showVal val="0"/>
          <c:showCatName val="0"/>
          <c:showSerName val="0"/>
          <c:showPercent val="0"/>
          <c:showBubbleSize val="0"/>
        </c:dLbls>
        <c:axId val="986130736"/>
        <c:axId val="986134016"/>
      </c:scatterChart>
      <c:valAx>
        <c:axId val="98613073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34016"/>
        <c:crosses val="autoZero"/>
        <c:crossBetween val="midCat"/>
      </c:valAx>
      <c:valAx>
        <c:axId val="986134016"/>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30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60000"/>
          <a:lumOff val="4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28575">
              <a:noFill/>
            </a:ln>
          </c:spPr>
          <c:xVal>
            <c:numRef>
              <c:f>'Multi-Regr'!$K$38:$K$67</c:f>
              <c:numCache>
                <c:formatCode>General</c:formatCode>
                <c:ptCount val="30"/>
                <c:pt idx="0">
                  <c:v>1.6666666666666667</c:v>
                </c:pt>
                <c:pt idx="1">
                  <c:v>5</c:v>
                </c:pt>
                <c:pt idx="2">
                  <c:v>8.3333333333333339</c:v>
                </c:pt>
                <c:pt idx="3">
                  <c:v>11.666666666666666</c:v>
                </c:pt>
                <c:pt idx="4">
                  <c:v>15</c:v>
                </c:pt>
                <c:pt idx="5">
                  <c:v>18.333333333333336</c:v>
                </c:pt>
                <c:pt idx="6">
                  <c:v>21.666666666666668</c:v>
                </c:pt>
                <c:pt idx="7">
                  <c:v>25.000000000000004</c:v>
                </c:pt>
                <c:pt idx="8">
                  <c:v>28.333333333333336</c:v>
                </c:pt>
                <c:pt idx="9">
                  <c:v>31.666666666666668</c:v>
                </c:pt>
                <c:pt idx="10">
                  <c:v>35</c:v>
                </c:pt>
                <c:pt idx="11">
                  <c:v>38.333333333333336</c:v>
                </c:pt>
                <c:pt idx="12">
                  <c:v>41.666666666666664</c:v>
                </c:pt>
                <c:pt idx="13">
                  <c:v>45</c:v>
                </c:pt>
                <c:pt idx="14">
                  <c:v>48.333333333333336</c:v>
                </c:pt>
                <c:pt idx="15">
                  <c:v>51.666666666666664</c:v>
                </c:pt>
                <c:pt idx="16">
                  <c:v>55</c:v>
                </c:pt>
                <c:pt idx="17">
                  <c:v>58.333333333333336</c:v>
                </c:pt>
                <c:pt idx="18">
                  <c:v>61.666666666666664</c:v>
                </c:pt>
                <c:pt idx="19">
                  <c:v>65</c:v>
                </c:pt>
                <c:pt idx="20">
                  <c:v>68.333333333333343</c:v>
                </c:pt>
                <c:pt idx="21">
                  <c:v>71.666666666666671</c:v>
                </c:pt>
                <c:pt idx="22">
                  <c:v>75.000000000000014</c:v>
                </c:pt>
                <c:pt idx="23">
                  <c:v>78.333333333333343</c:v>
                </c:pt>
                <c:pt idx="24">
                  <c:v>81.666666666666671</c:v>
                </c:pt>
                <c:pt idx="25">
                  <c:v>85.000000000000014</c:v>
                </c:pt>
                <c:pt idx="26">
                  <c:v>88.333333333333343</c:v>
                </c:pt>
                <c:pt idx="27">
                  <c:v>91.666666666666671</c:v>
                </c:pt>
                <c:pt idx="28">
                  <c:v>95.000000000000014</c:v>
                </c:pt>
                <c:pt idx="29">
                  <c:v>98.333333333333343</c:v>
                </c:pt>
              </c:numCache>
            </c:numRef>
          </c:xVal>
          <c:yVal>
            <c:numRef>
              <c:f>'Multi-Regr'!$L$38:$L$67</c:f>
              <c:numCache>
                <c:formatCode>General</c:formatCode>
                <c:ptCount val="30"/>
                <c:pt idx="0">
                  <c:v>22.7</c:v>
                </c:pt>
                <c:pt idx="1">
                  <c:v>23.4</c:v>
                </c:pt>
                <c:pt idx="2">
                  <c:v>26.2</c:v>
                </c:pt>
                <c:pt idx="3">
                  <c:v>26.3</c:v>
                </c:pt>
                <c:pt idx="4">
                  <c:v>26.6</c:v>
                </c:pt>
                <c:pt idx="5">
                  <c:v>27.8</c:v>
                </c:pt>
                <c:pt idx="6">
                  <c:v>32.299999999999997</c:v>
                </c:pt>
                <c:pt idx="7">
                  <c:v>34.5</c:v>
                </c:pt>
                <c:pt idx="8">
                  <c:v>35.200000000000003</c:v>
                </c:pt>
                <c:pt idx="9">
                  <c:v>35.5</c:v>
                </c:pt>
                <c:pt idx="10">
                  <c:v>35.700000000000003</c:v>
                </c:pt>
                <c:pt idx="11">
                  <c:v>36.5</c:v>
                </c:pt>
                <c:pt idx="12">
                  <c:v>37.6</c:v>
                </c:pt>
                <c:pt idx="13">
                  <c:v>37.799999999999997</c:v>
                </c:pt>
                <c:pt idx="14">
                  <c:v>38.6</c:v>
                </c:pt>
                <c:pt idx="15">
                  <c:v>38.6</c:v>
                </c:pt>
                <c:pt idx="16">
                  <c:v>39.5</c:v>
                </c:pt>
                <c:pt idx="17">
                  <c:v>39.700000000000003</c:v>
                </c:pt>
                <c:pt idx="18">
                  <c:v>39.799999999999997</c:v>
                </c:pt>
                <c:pt idx="19">
                  <c:v>40.299999999999997</c:v>
                </c:pt>
                <c:pt idx="20">
                  <c:v>40.299999999999997</c:v>
                </c:pt>
                <c:pt idx="21">
                  <c:v>41.8</c:v>
                </c:pt>
                <c:pt idx="22">
                  <c:v>43</c:v>
                </c:pt>
                <c:pt idx="23">
                  <c:v>44</c:v>
                </c:pt>
                <c:pt idx="24">
                  <c:v>46</c:v>
                </c:pt>
                <c:pt idx="25">
                  <c:v>46.9</c:v>
                </c:pt>
                <c:pt idx="26">
                  <c:v>48.8</c:v>
                </c:pt>
                <c:pt idx="27">
                  <c:v>52.1</c:v>
                </c:pt>
                <c:pt idx="28">
                  <c:v>56</c:v>
                </c:pt>
                <c:pt idx="29">
                  <c:v>58.7</c:v>
                </c:pt>
              </c:numCache>
            </c:numRef>
          </c:yVal>
          <c:smooth val="0"/>
          <c:extLst>
            <c:ext xmlns:c16="http://schemas.microsoft.com/office/drawing/2014/chart" uri="{C3380CC4-5D6E-409C-BE32-E72D297353CC}">
              <c16:uniqueId val="{00000001-0D86-40E4-8951-D5E720C958C5}"/>
            </c:ext>
          </c:extLst>
        </c:ser>
        <c:dLbls>
          <c:showLegendKey val="0"/>
          <c:showVal val="0"/>
          <c:showCatName val="0"/>
          <c:showSerName val="0"/>
          <c:showPercent val="0"/>
          <c:showBubbleSize val="0"/>
        </c:dLbls>
        <c:axId val="1114689800"/>
        <c:axId val="1114687504"/>
      </c:scatterChart>
      <c:valAx>
        <c:axId val="1114689800"/>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114687504"/>
        <c:crosses val="autoZero"/>
        <c:crossBetween val="midCat"/>
      </c:valAx>
      <c:valAx>
        <c:axId val="1114687504"/>
        <c:scaling>
          <c:orientation val="minMax"/>
        </c:scaling>
        <c:delete val="0"/>
        <c:axPos val="l"/>
        <c:title>
          <c:tx>
            <c:rich>
              <a:bodyPr/>
              <a:lstStyle/>
              <a:p>
                <a:pPr>
                  <a:defRPr/>
                </a:pPr>
                <a:r>
                  <a:rPr lang="en-US"/>
                  <a:t>Strength</a:t>
                </a:r>
              </a:p>
            </c:rich>
          </c:tx>
          <c:overlay val="0"/>
        </c:title>
        <c:numFmt formatCode="General" sourceLinked="1"/>
        <c:majorTickMark val="out"/>
        <c:minorTickMark val="none"/>
        <c:tickLblPos val="nextTo"/>
        <c:crossAx val="11146898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ACF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466201611594656E-2"/>
          <c:y val="0.2382497568890849"/>
          <c:w val="0.86100029390738986"/>
          <c:h val="0.71238600642265115"/>
        </c:manualLayout>
      </c:layout>
      <c:barChart>
        <c:barDir val="col"/>
        <c:grouping val="clustered"/>
        <c:varyColors val="0"/>
        <c:ser>
          <c:idx val="0"/>
          <c:order val="0"/>
          <c:tx>
            <c:v>ACF Coeff</c:v>
          </c:tx>
          <c:spPr>
            <a:solidFill>
              <a:schemeClr val="accent1"/>
            </a:solidFill>
            <a:ln>
              <a:noFill/>
            </a:ln>
            <a:effectLst/>
          </c:spPr>
          <c:invertIfNegative val="0"/>
          <c:val>
            <c:numRef>
              <c:f>ACF!$D$18:$D$27</c:f>
              <c:numCache>
                <c:formatCode>General</c:formatCode>
                <c:ptCount val="10"/>
                <c:pt idx="0">
                  <c:v>0.57191316146540028</c:v>
                </c:pt>
                <c:pt idx="1">
                  <c:v>0.46268656716417911</c:v>
                </c:pt>
                <c:pt idx="2">
                  <c:v>0.11058344640434192</c:v>
                </c:pt>
                <c:pt idx="3">
                  <c:v>1.5603799185888738E-2</c:v>
                </c:pt>
                <c:pt idx="4">
                  <c:v>-3.3242876526458617E-2</c:v>
                </c:pt>
                <c:pt idx="5">
                  <c:v>-9.8315496948001943E-2</c:v>
                </c:pt>
                <c:pt idx="6">
                  <c:v>-0.23943828601883974</c:v>
                </c:pt>
                <c:pt idx="7">
                  <c:v>-0.31223245717377862</c:v>
                </c:pt>
                <c:pt idx="8">
                  <c:v>-0.44724695004066933</c:v>
                </c:pt>
                <c:pt idx="9">
                  <c:v>-0.23037338557810491</c:v>
                </c:pt>
              </c:numCache>
            </c:numRef>
          </c:val>
          <c:extLst>
            <c:ext xmlns:c16="http://schemas.microsoft.com/office/drawing/2014/chart" uri="{C3380CC4-5D6E-409C-BE32-E72D297353CC}">
              <c16:uniqueId val="{00000000-A982-4C4C-A0A2-7E5A0604F40C}"/>
            </c:ext>
          </c:extLst>
        </c:ser>
        <c:dLbls>
          <c:showLegendKey val="0"/>
          <c:showVal val="0"/>
          <c:showCatName val="0"/>
          <c:showSerName val="0"/>
          <c:showPercent val="0"/>
          <c:showBubbleSize val="0"/>
        </c:dLbls>
        <c:gapWidth val="219"/>
        <c:axId val="1071064704"/>
        <c:axId val="1071061096"/>
      </c:barChart>
      <c:catAx>
        <c:axId val="10710647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61096"/>
        <c:crosses val="autoZero"/>
        <c:auto val="1"/>
        <c:lblAlgn val="ctr"/>
        <c:lblOffset val="100"/>
        <c:noMultiLvlLbl val="0"/>
      </c:catAx>
      <c:valAx>
        <c:axId val="1071061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64704"/>
        <c:crosses val="autoZero"/>
        <c:crossBetween val="between"/>
      </c:valAx>
      <c:spPr>
        <a:noFill/>
        <a:ln>
          <a:noFill/>
        </a:ln>
        <a:effectLst/>
      </c:spPr>
    </c:plotArea>
    <c:legend>
      <c:legendPos val="r"/>
      <c:layout>
        <c:manualLayout>
          <c:xMode val="edge"/>
          <c:yMode val="edge"/>
          <c:x val="0.78163035916903045"/>
          <c:y val="3.1925975553218811E-3"/>
          <c:w val="0.14485181770138883"/>
          <c:h val="0.132700770332448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Sales vs Seasonal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'Time Series'!$D$14</c:f>
              <c:strCache>
                <c:ptCount val="1"/>
                <c:pt idx="0">
                  <c:v>Sales</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multiLvlStrRef>
              <c:f>'Time Series'!$B$15:$C$98</c:f>
              <c:multiLvlStrCache>
                <c:ptCount val="8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lvl>
                <c:lvl>
                  <c:pt idx="0">
                    <c:v>1996</c:v>
                  </c:pt>
                  <c:pt idx="12">
                    <c:v>1997</c:v>
                  </c:pt>
                  <c:pt idx="24">
                    <c:v>1998</c:v>
                  </c:pt>
                  <c:pt idx="36">
                    <c:v>1999</c:v>
                  </c:pt>
                  <c:pt idx="48">
                    <c:v>2000</c:v>
                  </c:pt>
                  <c:pt idx="60">
                    <c:v>2001</c:v>
                  </c:pt>
                  <c:pt idx="72">
                    <c:v>2002</c:v>
                  </c:pt>
                </c:lvl>
              </c:multiLvlStrCache>
            </c:multiLvlStrRef>
          </c:cat>
          <c:val>
            <c:numRef>
              <c:f>'Time Series'!$D$15:$D$98</c:f>
              <c:numCache>
                <c:formatCode>General</c:formatCode>
                <c:ptCount val="84"/>
                <c:pt idx="0">
                  <c:v>4964</c:v>
                </c:pt>
                <c:pt idx="1">
                  <c:v>4968</c:v>
                </c:pt>
                <c:pt idx="2">
                  <c:v>5601</c:v>
                </c:pt>
                <c:pt idx="3">
                  <c:v>5454</c:v>
                </c:pt>
                <c:pt idx="4">
                  <c:v>5721</c:v>
                </c:pt>
                <c:pt idx="5">
                  <c:v>5690</c:v>
                </c:pt>
                <c:pt idx="6">
                  <c:v>5804</c:v>
                </c:pt>
                <c:pt idx="7">
                  <c:v>6040</c:v>
                </c:pt>
                <c:pt idx="8">
                  <c:v>5843</c:v>
                </c:pt>
                <c:pt idx="9">
                  <c:v>6087</c:v>
                </c:pt>
                <c:pt idx="10">
                  <c:v>6469</c:v>
                </c:pt>
                <c:pt idx="11">
                  <c:v>7002</c:v>
                </c:pt>
                <c:pt idx="12">
                  <c:v>5416</c:v>
                </c:pt>
                <c:pt idx="13">
                  <c:v>5393</c:v>
                </c:pt>
                <c:pt idx="14">
                  <c:v>5907</c:v>
                </c:pt>
                <c:pt idx="15">
                  <c:v>5768</c:v>
                </c:pt>
                <c:pt idx="16">
                  <c:v>6107</c:v>
                </c:pt>
                <c:pt idx="17">
                  <c:v>6016</c:v>
                </c:pt>
                <c:pt idx="18">
                  <c:v>6131</c:v>
                </c:pt>
                <c:pt idx="19">
                  <c:v>6499</c:v>
                </c:pt>
                <c:pt idx="20">
                  <c:v>6249</c:v>
                </c:pt>
                <c:pt idx="21">
                  <c:v>6472</c:v>
                </c:pt>
                <c:pt idx="22">
                  <c:v>6946</c:v>
                </c:pt>
                <c:pt idx="23">
                  <c:v>7615</c:v>
                </c:pt>
                <c:pt idx="24">
                  <c:v>5876</c:v>
                </c:pt>
                <c:pt idx="25">
                  <c:v>5818</c:v>
                </c:pt>
                <c:pt idx="26">
                  <c:v>6342</c:v>
                </c:pt>
                <c:pt idx="27">
                  <c:v>6143</c:v>
                </c:pt>
                <c:pt idx="28">
                  <c:v>6442</c:v>
                </c:pt>
                <c:pt idx="29">
                  <c:v>6407</c:v>
                </c:pt>
                <c:pt idx="30">
                  <c:v>6545</c:v>
                </c:pt>
                <c:pt idx="31">
                  <c:v>6758</c:v>
                </c:pt>
                <c:pt idx="32">
                  <c:v>6485</c:v>
                </c:pt>
                <c:pt idx="33">
                  <c:v>6805</c:v>
                </c:pt>
                <c:pt idx="34">
                  <c:v>7361</c:v>
                </c:pt>
                <c:pt idx="35">
                  <c:v>8079</c:v>
                </c:pt>
                <c:pt idx="36">
                  <c:v>6061</c:v>
                </c:pt>
                <c:pt idx="37">
                  <c:v>6187</c:v>
                </c:pt>
                <c:pt idx="38">
                  <c:v>6792</c:v>
                </c:pt>
                <c:pt idx="39">
                  <c:v>6587</c:v>
                </c:pt>
                <c:pt idx="40">
                  <c:v>6918</c:v>
                </c:pt>
                <c:pt idx="41">
                  <c:v>6920</c:v>
                </c:pt>
                <c:pt idx="42">
                  <c:v>7030</c:v>
                </c:pt>
                <c:pt idx="43">
                  <c:v>7491</c:v>
                </c:pt>
                <c:pt idx="44">
                  <c:v>7305</c:v>
                </c:pt>
                <c:pt idx="45">
                  <c:v>7571</c:v>
                </c:pt>
                <c:pt idx="46">
                  <c:v>8013</c:v>
                </c:pt>
                <c:pt idx="47">
                  <c:v>8727</c:v>
                </c:pt>
                <c:pt idx="48">
                  <c:v>6776</c:v>
                </c:pt>
                <c:pt idx="49">
                  <c:v>6847</c:v>
                </c:pt>
                <c:pt idx="50">
                  <c:v>7531</c:v>
                </c:pt>
                <c:pt idx="51">
                  <c:v>7333</c:v>
                </c:pt>
                <c:pt idx="52">
                  <c:v>7685</c:v>
                </c:pt>
                <c:pt idx="53">
                  <c:v>7518</c:v>
                </c:pt>
                <c:pt idx="54">
                  <c:v>7672</c:v>
                </c:pt>
                <c:pt idx="55">
                  <c:v>7992</c:v>
                </c:pt>
                <c:pt idx="56">
                  <c:v>7645</c:v>
                </c:pt>
                <c:pt idx="57">
                  <c:v>7923</c:v>
                </c:pt>
                <c:pt idx="58">
                  <c:v>8297</c:v>
                </c:pt>
                <c:pt idx="59">
                  <c:v>8537</c:v>
                </c:pt>
                <c:pt idx="60">
                  <c:v>7005</c:v>
                </c:pt>
                <c:pt idx="61">
                  <c:v>6855</c:v>
                </c:pt>
                <c:pt idx="62">
                  <c:v>7420</c:v>
                </c:pt>
                <c:pt idx="63">
                  <c:v>7183</c:v>
                </c:pt>
                <c:pt idx="64">
                  <c:v>7554</c:v>
                </c:pt>
                <c:pt idx="65">
                  <c:v>7475</c:v>
                </c:pt>
                <c:pt idx="66">
                  <c:v>7687</c:v>
                </c:pt>
                <c:pt idx="67">
                  <c:v>7922</c:v>
                </c:pt>
                <c:pt idx="68">
                  <c:v>7426</c:v>
                </c:pt>
                <c:pt idx="69">
                  <c:v>7736</c:v>
                </c:pt>
                <c:pt idx="70">
                  <c:v>8483</c:v>
                </c:pt>
                <c:pt idx="71">
                  <c:v>9329</c:v>
                </c:pt>
                <c:pt idx="72">
                  <c:v>7120</c:v>
                </c:pt>
                <c:pt idx="73">
                  <c:v>7124</c:v>
                </c:pt>
                <c:pt idx="74">
                  <c:v>7817</c:v>
                </c:pt>
                <c:pt idx="75">
                  <c:v>7538</c:v>
                </c:pt>
                <c:pt idx="76">
                  <c:v>7921</c:v>
                </c:pt>
                <c:pt idx="77">
                  <c:v>7757</c:v>
                </c:pt>
                <c:pt idx="78">
                  <c:v>7816</c:v>
                </c:pt>
                <c:pt idx="79">
                  <c:v>8208</c:v>
                </c:pt>
                <c:pt idx="80">
                  <c:v>7828</c:v>
                </c:pt>
              </c:numCache>
            </c:numRef>
          </c:val>
          <c:smooth val="0"/>
          <c:extLst>
            <c:ext xmlns:c16="http://schemas.microsoft.com/office/drawing/2014/chart" uri="{C3380CC4-5D6E-409C-BE32-E72D297353CC}">
              <c16:uniqueId val="{00000000-53A3-4BBA-B1A8-22C4F51D1D60}"/>
            </c:ext>
          </c:extLst>
        </c:ser>
        <c:ser>
          <c:idx val="2"/>
          <c:order val="1"/>
          <c:tx>
            <c:strRef>
              <c:f>'Time Series'!$F$14</c:f>
              <c:strCache>
                <c:ptCount val="1"/>
                <c:pt idx="0">
                  <c:v>Seasonal Forecast with Trend</c:v>
                </c:pt>
              </c:strCache>
            </c:strRef>
          </c:tx>
          <c:spPr>
            <a:ln w="28575" cap="rnd">
              <a:solidFill>
                <a:srgbClr val="00B050"/>
              </a:solidFill>
              <a:round/>
            </a:ln>
            <a:effectLst/>
          </c:spPr>
          <c:marker>
            <c:symbol val="none"/>
          </c:marker>
          <c:cat>
            <c:multiLvlStrRef>
              <c:f>'Time Series'!$B$15:$C$98</c:f>
              <c:multiLvlStrCache>
                <c:ptCount val="8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lvl>
                <c:lvl>
                  <c:pt idx="0">
                    <c:v>1996</c:v>
                  </c:pt>
                  <c:pt idx="12">
                    <c:v>1997</c:v>
                  </c:pt>
                  <c:pt idx="24">
                    <c:v>1998</c:v>
                  </c:pt>
                  <c:pt idx="36">
                    <c:v>1999</c:v>
                  </c:pt>
                  <c:pt idx="48">
                    <c:v>2000</c:v>
                  </c:pt>
                  <c:pt idx="60">
                    <c:v>2001</c:v>
                  </c:pt>
                  <c:pt idx="72">
                    <c:v>2002</c:v>
                  </c:pt>
                </c:lvl>
              </c:multiLvlStrCache>
            </c:multiLvlStrRef>
          </c:cat>
          <c:val>
            <c:numRef>
              <c:f>'Time Series'!$F$15:$F$98</c:f>
              <c:numCache>
                <c:formatCode>0.00</c:formatCode>
                <c:ptCount val="84"/>
                <c:pt idx="0">
                  <c:v>5018.9917351855593</c:v>
                </c:pt>
                <c:pt idx="1">
                  <c:v>5044.8301390735642</c:v>
                </c:pt>
                <c:pt idx="2">
                  <c:v>5569.1689864614291</c:v>
                </c:pt>
                <c:pt idx="3">
                  <c:v>5434.9815363107</c:v>
                </c:pt>
                <c:pt idx="4">
                  <c:v>5743.9596087620039</c:v>
                </c:pt>
                <c:pt idx="5">
                  <c:v>5708.7602867341175</c:v>
                </c:pt>
                <c:pt idx="6">
                  <c:v>5849.0524603957292</c:v>
                </c:pt>
                <c:pt idx="7">
                  <c:v>6150.3800875004608</c:v>
                </c:pt>
                <c:pt idx="8">
                  <c:v>5925.7699909128005</c:v>
                </c:pt>
                <c:pt idx="9">
                  <c:v>6069.7583664178437</c:v>
                </c:pt>
                <c:pt idx="10">
                  <c:v>6529.2240925791775</c:v>
                </c:pt>
                <c:pt idx="11">
                  <c:v>7100.6536628274962</c:v>
                </c:pt>
                <c:pt idx="12">
                  <c:v>5365.4942146298918</c:v>
                </c:pt>
                <c:pt idx="13">
                  <c:v>5391.124162215765</c:v>
                </c:pt>
                <c:pt idx="14">
                  <c:v>5949.281035849549</c:v>
                </c:pt>
                <c:pt idx="15">
                  <c:v>5803.8369453836785</c:v>
                </c:pt>
                <c:pt idx="16">
                  <c:v>6131.5921201270512</c:v>
                </c:pt>
                <c:pt idx="17">
                  <c:v>6091.8628823028284</c:v>
                </c:pt>
                <c:pt idx="18">
                  <c:v>6239.3868861384126</c:v>
                </c:pt>
                <c:pt idx="19">
                  <c:v>6558.553562175618</c:v>
                </c:pt>
                <c:pt idx="20">
                  <c:v>6316.874101463357</c:v>
                </c:pt>
                <c:pt idx="21">
                  <c:v>6468.174482643195</c:v>
                </c:pt>
                <c:pt idx="22">
                  <c:v>6955.4677888808401</c:v>
                </c:pt>
                <c:pt idx="23">
                  <c:v>7561.6935264850845</c:v>
                </c:pt>
                <c:pt idx="24">
                  <c:v>5711.9966940742243</c:v>
                </c:pt>
                <c:pt idx="25">
                  <c:v>5737.4181853579648</c:v>
                </c:pt>
                <c:pt idx="26">
                  <c:v>6329.3930852376698</c:v>
                </c:pt>
                <c:pt idx="27">
                  <c:v>6172.6923544566553</c:v>
                </c:pt>
                <c:pt idx="28">
                  <c:v>6519.2246314920976</c:v>
                </c:pt>
                <c:pt idx="29">
                  <c:v>6474.9654778715394</c:v>
                </c:pt>
                <c:pt idx="30">
                  <c:v>6629.7213118810969</c:v>
                </c:pt>
                <c:pt idx="31">
                  <c:v>6966.7270368507761</c:v>
                </c:pt>
                <c:pt idx="32">
                  <c:v>6707.9782120139143</c:v>
                </c:pt>
                <c:pt idx="33">
                  <c:v>6866.5905988685454</c:v>
                </c:pt>
                <c:pt idx="34">
                  <c:v>7381.7114851825027</c:v>
                </c:pt>
                <c:pt idx="35">
                  <c:v>8022.7333901426719</c:v>
                </c:pt>
                <c:pt idx="36">
                  <c:v>6058.4991735185558</c:v>
                </c:pt>
                <c:pt idx="37">
                  <c:v>6083.7122085001647</c:v>
                </c:pt>
                <c:pt idx="38">
                  <c:v>6709.5051346257906</c:v>
                </c:pt>
                <c:pt idx="39">
                  <c:v>6541.5477635296338</c:v>
                </c:pt>
                <c:pt idx="40">
                  <c:v>6906.8571428571431</c:v>
                </c:pt>
                <c:pt idx="41">
                  <c:v>6858.0680734402504</c:v>
                </c:pt>
                <c:pt idx="42">
                  <c:v>7020.0557376237812</c:v>
                </c:pt>
                <c:pt idx="43">
                  <c:v>7374.9005115259333</c:v>
                </c:pt>
                <c:pt idx="44">
                  <c:v>7099.0823225644708</c:v>
                </c:pt>
                <c:pt idx="45">
                  <c:v>7265.0067150938958</c:v>
                </c:pt>
                <c:pt idx="46">
                  <c:v>7807.9551814841652</c:v>
                </c:pt>
                <c:pt idx="47">
                  <c:v>8483.7732538002601</c:v>
                </c:pt>
                <c:pt idx="48">
                  <c:v>6405.0016529628883</c:v>
                </c:pt>
                <c:pt idx="49">
                  <c:v>6430.0062316423646</c:v>
                </c:pt>
                <c:pt idx="50">
                  <c:v>7089.6171840139114</c:v>
                </c:pt>
                <c:pt idx="51">
                  <c:v>6910.4031726026114</c:v>
                </c:pt>
                <c:pt idx="52">
                  <c:v>7294.4896542221904</c:v>
                </c:pt>
                <c:pt idx="53">
                  <c:v>7241.1706690089595</c:v>
                </c:pt>
                <c:pt idx="54">
                  <c:v>7410.3901633664645</c:v>
                </c:pt>
                <c:pt idx="55">
                  <c:v>7783.0739862010914</c:v>
                </c:pt>
                <c:pt idx="56">
                  <c:v>7490.1864331150282</c:v>
                </c:pt>
                <c:pt idx="57">
                  <c:v>7663.4228313192461</c:v>
                </c:pt>
                <c:pt idx="58">
                  <c:v>8234.1988777858278</c:v>
                </c:pt>
                <c:pt idx="59">
                  <c:v>8944.8131174578484</c:v>
                </c:pt>
                <c:pt idx="60">
                  <c:v>6751.5041324072208</c:v>
                </c:pt>
                <c:pt idx="61">
                  <c:v>6776.3002547845645</c:v>
                </c:pt>
                <c:pt idx="62">
                  <c:v>7469.7292334020312</c:v>
                </c:pt>
                <c:pt idx="63">
                  <c:v>7279.2585816755882</c:v>
                </c:pt>
                <c:pt idx="64">
                  <c:v>7682.1221655872359</c:v>
                </c:pt>
                <c:pt idx="65">
                  <c:v>7624.2732645776705</c:v>
                </c:pt>
                <c:pt idx="66">
                  <c:v>7800.7245891091479</c:v>
                </c:pt>
                <c:pt idx="67">
                  <c:v>8191.2474608762495</c:v>
                </c:pt>
                <c:pt idx="68">
                  <c:v>7881.2905436655856</c:v>
                </c:pt>
                <c:pt idx="69">
                  <c:v>8061.8389475445974</c:v>
                </c:pt>
                <c:pt idx="70">
                  <c:v>8660.4425740874904</c:v>
                </c:pt>
                <c:pt idx="71">
                  <c:v>9405.8529811154367</c:v>
                </c:pt>
                <c:pt idx="72">
                  <c:v>7098.0066118515524</c:v>
                </c:pt>
                <c:pt idx="73">
                  <c:v>7122.5942779267652</c:v>
                </c:pt>
                <c:pt idx="74">
                  <c:v>7849.841282790152</c:v>
                </c:pt>
                <c:pt idx="75">
                  <c:v>7648.1139907485667</c:v>
                </c:pt>
                <c:pt idx="76">
                  <c:v>8069.7546769522833</c:v>
                </c:pt>
                <c:pt idx="77">
                  <c:v>8007.3758601463815</c:v>
                </c:pt>
                <c:pt idx="78">
                  <c:v>8191.0590148518322</c:v>
                </c:pt>
                <c:pt idx="79">
                  <c:v>8599.4209355514067</c:v>
                </c:pt>
                <c:pt idx="80">
                  <c:v>8272.3946542161411</c:v>
                </c:pt>
                <c:pt idx="81">
                  <c:v>8460.2550637699478</c:v>
                </c:pt>
                <c:pt idx="82">
                  <c:v>9086.6862703891511</c:v>
                </c:pt>
                <c:pt idx="83">
                  <c:v>9866.892844773025</c:v>
                </c:pt>
              </c:numCache>
            </c:numRef>
          </c:val>
          <c:smooth val="0"/>
          <c:extLst>
            <c:ext xmlns:c16="http://schemas.microsoft.com/office/drawing/2014/chart" uri="{C3380CC4-5D6E-409C-BE32-E72D297353CC}">
              <c16:uniqueId val="{00000001-53A3-4BBA-B1A8-22C4F51D1D60}"/>
            </c:ext>
          </c:extLst>
        </c:ser>
        <c:dLbls>
          <c:showLegendKey val="0"/>
          <c:showVal val="0"/>
          <c:showCatName val="0"/>
          <c:showSerName val="0"/>
          <c:showPercent val="0"/>
          <c:showBubbleSize val="0"/>
        </c:dLbls>
        <c:marker val="1"/>
        <c:smooth val="0"/>
        <c:axId val="1115102296"/>
        <c:axId val="1115103280"/>
      </c:lineChart>
      <c:catAx>
        <c:axId val="1115102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03280"/>
        <c:crosses val="autoZero"/>
        <c:auto val="1"/>
        <c:lblAlgn val="ctr"/>
        <c:lblOffset val="100"/>
        <c:noMultiLvlLbl val="0"/>
      </c:catAx>
      <c:valAx>
        <c:axId val="1115103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102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Sales vs Seasonal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'Time Series'!$E$14</c:f>
              <c:strCache>
                <c:ptCount val="1"/>
                <c:pt idx="0">
                  <c:v>Trend Sales</c:v>
                </c:pt>
              </c:strCache>
            </c:strRef>
          </c:tx>
          <c:spPr>
            <a:ln w="28575" cap="rnd">
              <a:solidFill>
                <a:schemeClr val="accent2"/>
              </a:solidFill>
              <a:round/>
            </a:ln>
            <a:effectLst/>
          </c:spPr>
          <c:marker>
            <c:symbol val="none"/>
          </c:marker>
          <c:cat>
            <c:multiLvlStrRef>
              <c:f>'Time Series'!$B$15:$C$98</c:f>
              <c:multiLvlStrCache>
                <c:ptCount val="8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lvl>
                <c:lvl>
                  <c:pt idx="0">
                    <c:v>1996</c:v>
                  </c:pt>
                  <c:pt idx="12">
                    <c:v>1997</c:v>
                  </c:pt>
                  <c:pt idx="24">
                    <c:v>1998</c:v>
                  </c:pt>
                  <c:pt idx="36">
                    <c:v>1999</c:v>
                  </c:pt>
                  <c:pt idx="48">
                    <c:v>2000</c:v>
                  </c:pt>
                  <c:pt idx="60">
                    <c:v>2001</c:v>
                  </c:pt>
                  <c:pt idx="72">
                    <c:v>2002</c:v>
                  </c:pt>
                </c:lvl>
              </c:multiLvlStrCache>
            </c:multiLvlStrRef>
          </c:cat>
          <c:val>
            <c:numRef>
              <c:f>'Time Series'!$E$15:$E$98</c:f>
              <c:numCache>
                <c:formatCode>General</c:formatCode>
                <c:ptCount val="84"/>
                <c:pt idx="0">
                  <c:v>5638.1285757302012</c:v>
                </c:pt>
                <c:pt idx="1">
                  <c:v>5670.5657934357114</c:v>
                </c:pt>
                <c:pt idx="2">
                  <c:v>5703.0030111412225</c:v>
                </c:pt>
                <c:pt idx="3">
                  <c:v>5735.4402288467327</c:v>
                </c:pt>
                <c:pt idx="4">
                  <c:v>5767.8774465522429</c:v>
                </c:pt>
                <c:pt idx="5">
                  <c:v>5800.3146642577531</c:v>
                </c:pt>
                <c:pt idx="6">
                  <c:v>5832.7518819632642</c:v>
                </c:pt>
                <c:pt idx="7">
                  <c:v>5865.1890996687744</c:v>
                </c:pt>
                <c:pt idx="8">
                  <c:v>5897.6263173742846</c:v>
                </c:pt>
                <c:pt idx="9">
                  <c:v>5930.0635350797947</c:v>
                </c:pt>
                <c:pt idx="10">
                  <c:v>5962.5007527853049</c:v>
                </c:pt>
                <c:pt idx="11">
                  <c:v>5994.937970490816</c:v>
                </c:pt>
                <c:pt idx="12">
                  <c:v>6027.3751881963262</c:v>
                </c:pt>
                <c:pt idx="13">
                  <c:v>6059.8124059018364</c:v>
                </c:pt>
                <c:pt idx="14">
                  <c:v>6092.2496236073466</c:v>
                </c:pt>
                <c:pt idx="15">
                  <c:v>6124.6868413128577</c:v>
                </c:pt>
                <c:pt idx="16">
                  <c:v>6157.1240590183679</c:v>
                </c:pt>
                <c:pt idx="17">
                  <c:v>6189.5612767238781</c:v>
                </c:pt>
                <c:pt idx="18">
                  <c:v>6221.9984944293883</c:v>
                </c:pt>
                <c:pt idx="19">
                  <c:v>6254.4357121348985</c:v>
                </c:pt>
                <c:pt idx="20">
                  <c:v>6286.8729298404096</c:v>
                </c:pt>
                <c:pt idx="21">
                  <c:v>6319.3101475459198</c:v>
                </c:pt>
                <c:pt idx="22">
                  <c:v>6351.74736525143</c:v>
                </c:pt>
                <c:pt idx="23">
                  <c:v>6384.1845829569411</c:v>
                </c:pt>
                <c:pt idx="24">
                  <c:v>6416.6218006624513</c:v>
                </c:pt>
                <c:pt idx="25">
                  <c:v>6449.0590183679615</c:v>
                </c:pt>
                <c:pt idx="26">
                  <c:v>6481.4962360734717</c:v>
                </c:pt>
                <c:pt idx="27">
                  <c:v>6513.9334537789819</c:v>
                </c:pt>
                <c:pt idx="28">
                  <c:v>6546.370671484493</c:v>
                </c:pt>
                <c:pt idx="29">
                  <c:v>6578.8078891900032</c:v>
                </c:pt>
                <c:pt idx="30">
                  <c:v>6611.2451068955133</c:v>
                </c:pt>
                <c:pt idx="31">
                  <c:v>6643.6823246010235</c:v>
                </c:pt>
                <c:pt idx="32">
                  <c:v>6676.1195423065346</c:v>
                </c:pt>
                <c:pt idx="33">
                  <c:v>6708.5567600120448</c:v>
                </c:pt>
                <c:pt idx="34">
                  <c:v>6740.993977717555</c:v>
                </c:pt>
                <c:pt idx="35">
                  <c:v>6773.4311954230652</c:v>
                </c:pt>
                <c:pt idx="36">
                  <c:v>6805.8684131285754</c:v>
                </c:pt>
                <c:pt idx="37">
                  <c:v>6838.3056308340856</c:v>
                </c:pt>
                <c:pt idx="38">
                  <c:v>6870.7428485395967</c:v>
                </c:pt>
                <c:pt idx="39">
                  <c:v>6903.1800662451069</c:v>
                </c:pt>
                <c:pt idx="40">
                  <c:v>6935.6172839506171</c:v>
                </c:pt>
                <c:pt idx="41">
                  <c:v>6968.0545016561282</c:v>
                </c:pt>
                <c:pt idx="42">
                  <c:v>7000.4917193616384</c:v>
                </c:pt>
                <c:pt idx="43">
                  <c:v>7032.9289370671486</c:v>
                </c:pt>
                <c:pt idx="44">
                  <c:v>7065.3661547726588</c:v>
                </c:pt>
                <c:pt idx="45">
                  <c:v>7097.803372478169</c:v>
                </c:pt>
                <c:pt idx="46">
                  <c:v>7130.2405901836801</c:v>
                </c:pt>
                <c:pt idx="47">
                  <c:v>7162.6778078891903</c:v>
                </c:pt>
                <c:pt idx="48">
                  <c:v>7195.1150255947005</c:v>
                </c:pt>
                <c:pt idx="49">
                  <c:v>7227.5522433002106</c:v>
                </c:pt>
                <c:pt idx="50">
                  <c:v>7259.9894610057218</c:v>
                </c:pt>
                <c:pt idx="51">
                  <c:v>7292.4266787112319</c:v>
                </c:pt>
                <c:pt idx="52">
                  <c:v>7324.8638964167421</c:v>
                </c:pt>
                <c:pt idx="53">
                  <c:v>7357.3011141222523</c:v>
                </c:pt>
                <c:pt idx="54">
                  <c:v>7389.7383318277625</c:v>
                </c:pt>
                <c:pt idx="55">
                  <c:v>7422.1755495332736</c:v>
                </c:pt>
                <c:pt idx="56">
                  <c:v>7454.6127672387838</c:v>
                </c:pt>
                <c:pt idx="57">
                  <c:v>7487.049984944294</c:v>
                </c:pt>
                <c:pt idx="58">
                  <c:v>7519.4872026498042</c:v>
                </c:pt>
                <c:pt idx="59">
                  <c:v>7551.9244203553153</c:v>
                </c:pt>
                <c:pt idx="60">
                  <c:v>7584.3616380608255</c:v>
                </c:pt>
                <c:pt idx="61">
                  <c:v>7616.7988557663357</c:v>
                </c:pt>
                <c:pt idx="62">
                  <c:v>7649.2360734718459</c:v>
                </c:pt>
                <c:pt idx="63">
                  <c:v>7681.6732911773561</c:v>
                </c:pt>
                <c:pt idx="64">
                  <c:v>7714.1105088828663</c:v>
                </c:pt>
                <c:pt idx="65">
                  <c:v>7746.5477265883774</c:v>
                </c:pt>
                <c:pt idx="66">
                  <c:v>7778.9849442938876</c:v>
                </c:pt>
                <c:pt idx="67">
                  <c:v>7811.4221619993987</c:v>
                </c:pt>
                <c:pt idx="68">
                  <c:v>7843.8593797049089</c:v>
                </c:pt>
                <c:pt idx="69">
                  <c:v>7876.2965974104191</c:v>
                </c:pt>
                <c:pt idx="70">
                  <c:v>7908.7338151159292</c:v>
                </c:pt>
                <c:pt idx="71">
                  <c:v>7941.1710328214394</c:v>
                </c:pt>
                <c:pt idx="72">
                  <c:v>7973.6082505269496</c:v>
                </c:pt>
                <c:pt idx="73">
                  <c:v>8006.0454682324607</c:v>
                </c:pt>
                <c:pt idx="74">
                  <c:v>8038.4826859379709</c:v>
                </c:pt>
                <c:pt idx="75">
                  <c:v>8070.9199036434811</c:v>
                </c:pt>
                <c:pt idx="76">
                  <c:v>8103.3571213489922</c:v>
                </c:pt>
                <c:pt idx="77">
                  <c:v>8135.7943390545024</c:v>
                </c:pt>
                <c:pt idx="78">
                  <c:v>8168.2315567600126</c:v>
                </c:pt>
                <c:pt idx="79">
                  <c:v>8200.6687744655228</c:v>
                </c:pt>
                <c:pt idx="80">
                  <c:v>8233.105992171033</c:v>
                </c:pt>
                <c:pt idx="81">
                  <c:v>8265.5432098765432</c:v>
                </c:pt>
                <c:pt idx="82">
                  <c:v>8297.9804275820534</c:v>
                </c:pt>
                <c:pt idx="83">
                  <c:v>8330.4176452875654</c:v>
                </c:pt>
              </c:numCache>
            </c:numRef>
          </c:val>
          <c:smooth val="0"/>
          <c:extLst>
            <c:ext xmlns:c16="http://schemas.microsoft.com/office/drawing/2014/chart" uri="{C3380CC4-5D6E-409C-BE32-E72D297353CC}">
              <c16:uniqueId val="{00000000-CA2B-4061-9DA2-EB12B8676DC8}"/>
            </c:ext>
          </c:extLst>
        </c:ser>
        <c:ser>
          <c:idx val="2"/>
          <c:order val="2"/>
          <c:tx>
            <c:strRef>
              <c:f>'Time Series'!$F$14</c:f>
              <c:strCache>
                <c:ptCount val="1"/>
                <c:pt idx="0">
                  <c:v>Seasonal Forecast with Trend</c:v>
                </c:pt>
              </c:strCache>
            </c:strRef>
          </c:tx>
          <c:spPr>
            <a:ln w="28575" cap="rnd">
              <a:solidFill>
                <a:srgbClr val="00B050"/>
              </a:solidFill>
              <a:round/>
            </a:ln>
            <a:effectLst/>
          </c:spPr>
          <c:marker>
            <c:symbol val="diamond"/>
            <c:size val="5"/>
            <c:spPr>
              <a:solidFill>
                <a:srgbClr val="002060"/>
              </a:solidFill>
              <a:ln w="9525">
                <a:solidFill>
                  <a:schemeClr val="accent3"/>
                </a:solidFill>
              </a:ln>
              <a:effectLst/>
            </c:spPr>
          </c:marker>
          <c:cat>
            <c:multiLvlStrRef>
              <c:f>'Time Series'!$B$15:$C$98</c:f>
              <c:multiLvlStrCache>
                <c:ptCount val="8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lvl>
                <c:lvl>
                  <c:pt idx="0">
                    <c:v>1996</c:v>
                  </c:pt>
                  <c:pt idx="12">
                    <c:v>1997</c:v>
                  </c:pt>
                  <c:pt idx="24">
                    <c:v>1998</c:v>
                  </c:pt>
                  <c:pt idx="36">
                    <c:v>1999</c:v>
                  </c:pt>
                  <c:pt idx="48">
                    <c:v>2000</c:v>
                  </c:pt>
                  <c:pt idx="60">
                    <c:v>2001</c:v>
                  </c:pt>
                  <c:pt idx="72">
                    <c:v>2002</c:v>
                  </c:pt>
                </c:lvl>
              </c:multiLvlStrCache>
            </c:multiLvlStrRef>
          </c:cat>
          <c:val>
            <c:numRef>
              <c:f>'Time Series'!$F$15:$F$98</c:f>
              <c:numCache>
                <c:formatCode>0.00</c:formatCode>
                <c:ptCount val="84"/>
                <c:pt idx="0">
                  <c:v>5018.9917351855593</c:v>
                </c:pt>
                <c:pt idx="1">
                  <c:v>5044.8301390735642</c:v>
                </c:pt>
                <c:pt idx="2">
                  <c:v>5569.1689864614291</c:v>
                </c:pt>
                <c:pt idx="3">
                  <c:v>5434.9815363107</c:v>
                </c:pt>
                <c:pt idx="4">
                  <c:v>5743.9596087620039</c:v>
                </c:pt>
                <c:pt idx="5">
                  <c:v>5708.7602867341175</c:v>
                </c:pt>
                <c:pt idx="6">
                  <c:v>5849.0524603957292</c:v>
                </c:pt>
                <c:pt idx="7">
                  <c:v>6150.3800875004608</c:v>
                </c:pt>
                <c:pt idx="8">
                  <c:v>5925.7699909128005</c:v>
                </c:pt>
                <c:pt idx="9">
                  <c:v>6069.7583664178437</c:v>
                </c:pt>
                <c:pt idx="10">
                  <c:v>6529.2240925791775</c:v>
                </c:pt>
                <c:pt idx="11">
                  <c:v>7100.6536628274962</c:v>
                </c:pt>
                <c:pt idx="12">
                  <c:v>5365.4942146298918</c:v>
                </c:pt>
                <c:pt idx="13">
                  <c:v>5391.124162215765</c:v>
                </c:pt>
                <c:pt idx="14">
                  <c:v>5949.281035849549</c:v>
                </c:pt>
                <c:pt idx="15">
                  <c:v>5803.8369453836785</c:v>
                </c:pt>
                <c:pt idx="16">
                  <c:v>6131.5921201270512</c:v>
                </c:pt>
                <c:pt idx="17">
                  <c:v>6091.8628823028284</c:v>
                </c:pt>
                <c:pt idx="18">
                  <c:v>6239.3868861384126</c:v>
                </c:pt>
                <c:pt idx="19">
                  <c:v>6558.553562175618</c:v>
                </c:pt>
                <c:pt idx="20">
                  <c:v>6316.874101463357</c:v>
                </c:pt>
                <c:pt idx="21">
                  <c:v>6468.174482643195</c:v>
                </c:pt>
                <c:pt idx="22">
                  <c:v>6955.4677888808401</c:v>
                </c:pt>
                <c:pt idx="23">
                  <c:v>7561.6935264850845</c:v>
                </c:pt>
                <c:pt idx="24">
                  <c:v>5711.9966940742243</c:v>
                </c:pt>
                <c:pt idx="25">
                  <c:v>5737.4181853579648</c:v>
                </c:pt>
                <c:pt idx="26">
                  <c:v>6329.3930852376698</c:v>
                </c:pt>
                <c:pt idx="27">
                  <c:v>6172.6923544566553</c:v>
                </c:pt>
                <c:pt idx="28">
                  <c:v>6519.2246314920976</c:v>
                </c:pt>
                <c:pt idx="29">
                  <c:v>6474.9654778715394</c:v>
                </c:pt>
                <c:pt idx="30">
                  <c:v>6629.7213118810969</c:v>
                </c:pt>
                <c:pt idx="31">
                  <c:v>6966.7270368507761</c:v>
                </c:pt>
                <c:pt idx="32">
                  <c:v>6707.9782120139143</c:v>
                </c:pt>
                <c:pt idx="33">
                  <c:v>6866.5905988685454</c:v>
                </c:pt>
                <c:pt idx="34">
                  <c:v>7381.7114851825027</c:v>
                </c:pt>
                <c:pt idx="35">
                  <c:v>8022.7333901426719</c:v>
                </c:pt>
                <c:pt idx="36">
                  <c:v>6058.4991735185558</c:v>
                </c:pt>
                <c:pt idx="37">
                  <c:v>6083.7122085001647</c:v>
                </c:pt>
                <c:pt idx="38">
                  <c:v>6709.5051346257906</c:v>
                </c:pt>
                <c:pt idx="39">
                  <c:v>6541.5477635296338</c:v>
                </c:pt>
                <c:pt idx="40">
                  <c:v>6906.8571428571431</c:v>
                </c:pt>
                <c:pt idx="41">
                  <c:v>6858.0680734402504</c:v>
                </c:pt>
                <c:pt idx="42">
                  <c:v>7020.0557376237812</c:v>
                </c:pt>
                <c:pt idx="43">
                  <c:v>7374.9005115259333</c:v>
                </c:pt>
                <c:pt idx="44">
                  <c:v>7099.0823225644708</c:v>
                </c:pt>
                <c:pt idx="45">
                  <c:v>7265.0067150938958</c:v>
                </c:pt>
                <c:pt idx="46">
                  <c:v>7807.9551814841652</c:v>
                </c:pt>
                <c:pt idx="47">
                  <c:v>8483.7732538002601</c:v>
                </c:pt>
                <c:pt idx="48">
                  <c:v>6405.0016529628883</c:v>
                </c:pt>
                <c:pt idx="49">
                  <c:v>6430.0062316423646</c:v>
                </c:pt>
                <c:pt idx="50">
                  <c:v>7089.6171840139114</c:v>
                </c:pt>
                <c:pt idx="51">
                  <c:v>6910.4031726026114</c:v>
                </c:pt>
                <c:pt idx="52">
                  <c:v>7294.4896542221904</c:v>
                </c:pt>
                <c:pt idx="53">
                  <c:v>7241.1706690089595</c:v>
                </c:pt>
                <c:pt idx="54">
                  <c:v>7410.3901633664645</c:v>
                </c:pt>
                <c:pt idx="55">
                  <c:v>7783.0739862010914</c:v>
                </c:pt>
                <c:pt idx="56">
                  <c:v>7490.1864331150282</c:v>
                </c:pt>
                <c:pt idx="57">
                  <c:v>7663.4228313192461</c:v>
                </c:pt>
                <c:pt idx="58">
                  <c:v>8234.1988777858278</c:v>
                </c:pt>
                <c:pt idx="59">
                  <c:v>8944.8131174578484</c:v>
                </c:pt>
                <c:pt idx="60">
                  <c:v>6751.5041324072208</c:v>
                </c:pt>
                <c:pt idx="61">
                  <c:v>6776.3002547845645</c:v>
                </c:pt>
                <c:pt idx="62">
                  <c:v>7469.7292334020312</c:v>
                </c:pt>
                <c:pt idx="63">
                  <c:v>7279.2585816755882</c:v>
                </c:pt>
                <c:pt idx="64">
                  <c:v>7682.1221655872359</c:v>
                </c:pt>
                <c:pt idx="65">
                  <c:v>7624.2732645776705</c:v>
                </c:pt>
                <c:pt idx="66">
                  <c:v>7800.7245891091479</c:v>
                </c:pt>
                <c:pt idx="67">
                  <c:v>8191.2474608762495</c:v>
                </c:pt>
                <c:pt idx="68">
                  <c:v>7881.2905436655856</c:v>
                </c:pt>
                <c:pt idx="69">
                  <c:v>8061.8389475445974</c:v>
                </c:pt>
                <c:pt idx="70">
                  <c:v>8660.4425740874904</c:v>
                </c:pt>
                <c:pt idx="71">
                  <c:v>9405.8529811154367</c:v>
                </c:pt>
                <c:pt idx="72">
                  <c:v>7098.0066118515524</c:v>
                </c:pt>
                <c:pt idx="73">
                  <c:v>7122.5942779267652</c:v>
                </c:pt>
                <c:pt idx="74">
                  <c:v>7849.841282790152</c:v>
                </c:pt>
                <c:pt idx="75">
                  <c:v>7648.1139907485667</c:v>
                </c:pt>
                <c:pt idx="76">
                  <c:v>8069.7546769522833</c:v>
                </c:pt>
                <c:pt idx="77">
                  <c:v>8007.3758601463815</c:v>
                </c:pt>
                <c:pt idx="78">
                  <c:v>8191.0590148518322</c:v>
                </c:pt>
                <c:pt idx="79">
                  <c:v>8599.4209355514067</c:v>
                </c:pt>
                <c:pt idx="80">
                  <c:v>8272.3946542161411</c:v>
                </c:pt>
                <c:pt idx="81">
                  <c:v>8460.2550637699478</c:v>
                </c:pt>
                <c:pt idx="82">
                  <c:v>9086.6862703891511</c:v>
                </c:pt>
                <c:pt idx="83">
                  <c:v>9866.892844773025</c:v>
                </c:pt>
              </c:numCache>
            </c:numRef>
          </c:val>
          <c:smooth val="0"/>
          <c:extLst>
            <c:ext xmlns:c16="http://schemas.microsoft.com/office/drawing/2014/chart" uri="{C3380CC4-5D6E-409C-BE32-E72D297353CC}">
              <c16:uniqueId val="{00000001-CA2B-4061-9DA2-EB12B8676DC8}"/>
            </c:ext>
          </c:extLst>
        </c:ser>
        <c:dLbls>
          <c:showLegendKey val="0"/>
          <c:showVal val="0"/>
          <c:showCatName val="0"/>
          <c:showSerName val="0"/>
          <c:showPercent val="0"/>
          <c:showBubbleSize val="0"/>
        </c:dLbls>
        <c:smooth val="0"/>
        <c:axId val="1115074416"/>
        <c:axId val="1115067528"/>
        <c:extLst>
          <c:ext xmlns:c15="http://schemas.microsoft.com/office/drawing/2012/chart" uri="{02D57815-91ED-43cb-92C2-25804820EDAC}">
            <c15:filteredLineSeries>
              <c15:ser>
                <c:idx val="0"/>
                <c:order val="0"/>
                <c:tx>
                  <c:strRef>
                    <c:extLst>
                      <c:ext uri="{02D57815-91ED-43cb-92C2-25804820EDAC}">
                        <c15:formulaRef>
                          <c15:sqref>'Time Series'!$D$14</c15:sqref>
                        </c15:formulaRef>
                      </c:ext>
                    </c:extLst>
                    <c:strCache>
                      <c:ptCount val="1"/>
                      <c:pt idx="0">
                        <c:v>Sales</c:v>
                      </c:pt>
                    </c:strCache>
                  </c:strRef>
                </c:tx>
                <c:spPr>
                  <a:ln w="28575" cap="rnd">
                    <a:solidFill>
                      <a:schemeClr val="accent1"/>
                    </a:solidFill>
                    <a:round/>
                  </a:ln>
                  <a:effectLst/>
                </c:spPr>
                <c:marker>
                  <c:symbol val="none"/>
                </c:marker>
                <c:cat>
                  <c:multiLvlStrRef>
                    <c:extLst>
                      <c:ext uri="{02D57815-91ED-43cb-92C2-25804820EDAC}">
                        <c15:formulaRef>
                          <c15:sqref>'Time Series'!$B$15:$C$98</c15:sqref>
                        </c15:formulaRef>
                      </c:ext>
                    </c:extLst>
                    <c:multiLvlStrCache>
                      <c:ptCount val="8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lvl>
                      <c:lvl>
                        <c:pt idx="0">
                          <c:v>1996</c:v>
                        </c:pt>
                        <c:pt idx="12">
                          <c:v>1997</c:v>
                        </c:pt>
                        <c:pt idx="24">
                          <c:v>1998</c:v>
                        </c:pt>
                        <c:pt idx="36">
                          <c:v>1999</c:v>
                        </c:pt>
                        <c:pt idx="48">
                          <c:v>2000</c:v>
                        </c:pt>
                        <c:pt idx="60">
                          <c:v>2001</c:v>
                        </c:pt>
                        <c:pt idx="72">
                          <c:v>2002</c:v>
                        </c:pt>
                      </c:lvl>
                    </c:multiLvlStrCache>
                  </c:multiLvlStrRef>
                </c:cat>
                <c:val>
                  <c:numRef>
                    <c:extLst>
                      <c:ext uri="{02D57815-91ED-43cb-92C2-25804820EDAC}">
                        <c15:formulaRef>
                          <c15:sqref>'Time Series'!$D$15:$D$98</c15:sqref>
                        </c15:formulaRef>
                      </c:ext>
                    </c:extLst>
                    <c:numCache>
                      <c:formatCode>General</c:formatCode>
                      <c:ptCount val="84"/>
                      <c:pt idx="0">
                        <c:v>4964</c:v>
                      </c:pt>
                      <c:pt idx="1">
                        <c:v>4968</c:v>
                      </c:pt>
                      <c:pt idx="2">
                        <c:v>5601</c:v>
                      </c:pt>
                      <c:pt idx="3">
                        <c:v>5454</c:v>
                      </c:pt>
                      <c:pt idx="4">
                        <c:v>5721</c:v>
                      </c:pt>
                      <c:pt idx="5">
                        <c:v>5690</c:v>
                      </c:pt>
                      <c:pt idx="6">
                        <c:v>5804</c:v>
                      </c:pt>
                      <c:pt idx="7">
                        <c:v>6040</c:v>
                      </c:pt>
                      <c:pt idx="8">
                        <c:v>5843</c:v>
                      </c:pt>
                      <c:pt idx="9">
                        <c:v>6087</c:v>
                      </c:pt>
                      <c:pt idx="10">
                        <c:v>6469</c:v>
                      </c:pt>
                      <c:pt idx="11">
                        <c:v>7002</c:v>
                      </c:pt>
                      <c:pt idx="12">
                        <c:v>5416</c:v>
                      </c:pt>
                      <c:pt idx="13">
                        <c:v>5393</c:v>
                      </c:pt>
                      <c:pt idx="14">
                        <c:v>5907</c:v>
                      </c:pt>
                      <c:pt idx="15">
                        <c:v>5768</c:v>
                      </c:pt>
                      <c:pt idx="16">
                        <c:v>6107</c:v>
                      </c:pt>
                      <c:pt idx="17">
                        <c:v>6016</c:v>
                      </c:pt>
                      <c:pt idx="18">
                        <c:v>6131</c:v>
                      </c:pt>
                      <c:pt idx="19">
                        <c:v>6499</c:v>
                      </c:pt>
                      <c:pt idx="20">
                        <c:v>6249</c:v>
                      </c:pt>
                      <c:pt idx="21">
                        <c:v>6472</c:v>
                      </c:pt>
                      <c:pt idx="22">
                        <c:v>6946</c:v>
                      </c:pt>
                      <c:pt idx="23">
                        <c:v>7615</c:v>
                      </c:pt>
                      <c:pt idx="24">
                        <c:v>5876</c:v>
                      </c:pt>
                      <c:pt idx="25">
                        <c:v>5818</c:v>
                      </c:pt>
                      <c:pt idx="26">
                        <c:v>6342</c:v>
                      </c:pt>
                      <c:pt idx="27">
                        <c:v>6143</c:v>
                      </c:pt>
                      <c:pt idx="28">
                        <c:v>6442</c:v>
                      </c:pt>
                      <c:pt idx="29">
                        <c:v>6407</c:v>
                      </c:pt>
                      <c:pt idx="30">
                        <c:v>6545</c:v>
                      </c:pt>
                      <c:pt idx="31">
                        <c:v>6758</c:v>
                      </c:pt>
                      <c:pt idx="32">
                        <c:v>6485</c:v>
                      </c:pt>
                      <c:pt idx="33">
                        <c:v>6805</c:v>
                      </c:pt>
                      <c:pt idx="34">
                        <c:v>7361</c:v>
                      </c:pt>
                      <c:pt idx="35">
                        <c:v>8079</c:v>
                      </c:pt>
                      <c:pt idx="36">
                        <c:v>6061</c:v>
                      </c:pt>
                      <c:pt idx="37">
                        <c:v>6187</c:v>
                      </c:pt>
                      <c:pt idx="38">
                        <c:v>6792</c:v>
                      </c:pt>
                      <c:pt idx="39">
                        <c:v>6587</c:v>
                      </c:pt>
                      <c:pt idx="40">
                        <c:v>6918</c:v>
                      </c:pt>
                      <c:pt idx="41">
                        <c:v>6920</c:v>
                      </c:pt>
                      <c:pt idx="42">
                        <c:v>7030</c:v>
                      </c:pt>
                      <c:pt idx="43">
                        <c:v>7491</c:v>
                      </c:pt>
                      <c:pt idx="44">
                        <c:v>7305</c:v>
                      </c:pt>
                      <c:pt idx="45">
                        <c:v>7571</c:v>
                      </c:pt>
                      <c:pt idx="46">
                        <c:v>8013</c:v>
                      </c:pt>
                      <c:pt idx="47">
                        <c:v>8727</c:v>
                      </c:pt>
                      <c:pt idx="48">
                        <c:v>6776</c:v>
                      </c:pt>
                      <c:pt idx="49">
                        <c:v>6847</c:v>
                      </c:pt>
                      <c:pt idx="50">
                        <c:v>7531</c:v>
                      </c:pt>
                      <c:pt idx="51">
                        <c:v>7333</c:v>
                      </c:pt>
                      <c:pt idx="52">
                        <c:v>7685</c:v>
                      </c:pt>
                      <c:pt idx="53">
                        <c:v>7518</c:v>
                      </c:pt>
                      <c:pt idx="54">
                        <c:v>7672</c:v>
                      </c:pt>
                      <c:pt idx="55">
                        <c:v>7992</c:v>
                      </c:pt>
                      <c:pt idx="56">
                        <c:v>7645</c:v>
                      </c:pt>
                      <c:pt idx="57">
                        <c:v>7923</c:v>
                      </c:pt>
                      <c:pt idx="58">
                        <c:v>8297</c:v>
                      </c:pt>
                      <c:pt idx="59">
                        <c:v>8537</c:v>
                      </c:pt>
                      <c:pt idx="60">
                        <c:v>7005</c:v>
                      </c:pt>
                      <c:pt idx="61">
                        <c:v>6855</c:v>
                      </c:pt>
                      <c:pt idx="62">
                        <c:v>7420</c:v>
                      </c:pt>
                      <c:pt idx="63">
                        <c:v>7183</c:v>
                      </c:pt>
                      <c:pt idx="64">
                        <c:v>7554</c:v>
                      </c:pt>
                      <c:pt idx="65">
                        <c:v>7475</c:v>
                      </c:pt>
                      <c:pt idx="66">
                        <c:v>7687</c:v>
                      </c:pt>
                      <c:pt idx="67">
                        <c:v>7922</c:v>
                      </c:pt>
                      <c:pt idx="68">
                        <c:v>7426</c:v>
                      </c:pt>
                      <c:pt idx="69">
                        <c:v>7736</c:v>
                      </c:pt>
                      <c:pt idx="70">
                        <c:v>8483</c:v>
                      </c:pt>
                      <c:pt idx="71">
                        <c:v>9329</c:v>
                      </c:pt>
                      <c:pt idx="72">
                        <c:v>7120</c:v>
                      </c:pt>
                      <c:pt idx="73">
                        <c:v>7124</c:v>
                      </c:pt>
                      <c:pt idx="74">
                        <c:v>7817</c:v>
                      </c:pt>
                      <c:pt idx="75">
                        <c:v>7538</c:v>
                      </c:pt>
                      <c:pt idx="76">
                        <c:v>7921</c:v>
                      </c:pt>
                      <c:pt idx="77">
                        <c:v>7757</c:v>
                      </c:pt>
                      <c:pt idx="78">
                        <c:v>7816</c:v>
                      </c:pt>
                      <c:pt idx="79">
                        <c:v>8208</c:v>
                      </c:pt>
                      <c:pt idx="80">
                        <c:v>7828</c:v>
                      </c:pt>
                    </c:numCache>
                  </c:numRef>
                </c:val>
                <c:smooth val="0"/>
                <c:extLst>
                  <c:ext xmlns:c16="http://schemas.microsoft.com/office/drawing/2014/chart" uri="{C3380CC4-5D6E-409C-BE32-E72D297353CC}">
                    <c16:uniqueId val="{00000002-CA2B-4061-9DA2-EB12B8676DC8}"/>
                  </c:ext>
                </c:extLst>
              </c15:ser>
            </c15:filteredLineSeries>
          </c:ext>
        </c:extLst>
      </c:lineChart>
      <c:catAx>
        <c:axId val="111507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067528"/>
        <c:crosses val="autoZero"/>
        <c:auto val="1"/>
        <c:lblAlgn val="ctr"/>
        <c:lblOffset val="100"/>
        <c:noMultiLvlLbl val="0"/>
      </c:catAx>
      <c:valAx>
        <c:axId val="1115067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074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Actual v/s</a:t>
            </a:r>
            <a:r>
              <a:rPr lang="en-US" b="1" baseline="0"/>
              <a:t> Forecasted Sales</a:t>
            </a:r>
            <a:endParaRPr lang="en-US" b="1"/>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'Time Series 2'!$B$17:$C$101</c:f>
              <c:multiLvlStrCache>
                <c:ptCount val="85"/>
                <c:lvl>
                  <c:pt idx="0">
                    <c:v>Mon/Yr</c:v>
                  </c:pt>
                  <c:pt idx="1">
                    <c:v>January</c:v>
                  </c:pt>
                  <c:pt idx="2">
                    <c:v>February</c:v>
                  </c:pt>
                  <c:pt idx="3">
                    <c:v>March</c:v>
                  </c:pt>
                  <c:pt idx="4">
                    <c:v>April</c:v>
                  </c:pt>
                  <c:pt idx="5">
                    <c:v>May</c:v>
                  </c:pt>
                  <c:pt idx="6">
                    <c:v>June</c:v>
                  </c:pt>
                  <c:pt idx="7">
                    <c:v>July</c:v>
                  </c:pt>
                  <c:pt idx="8">
                    <c:v>August</c:v>
                  </c:pt>
                  <c:pt idx="9">
                    <c:v>September</c:v>
                  </c:pt>
                  <c:pt idx="10">
                    <c:v>October</c:v>
                  </c:pt>
                  <c:pt idx="11">
                    <c:v>November</c:v>
                  </c:pt>
                  <c:pt idx="12">
                    <c:v>December</c:v>
                  </c:pt>
                  <c:pt idx="13">
                    <c:v>January</c:v>
                  </c:pt>
                  <c:pt idx="14">
                    <c:v>February</c:v>
                  </c:pt>
                  <c:pt idx="15">
                    <c:v>March</c:v>
                  </c:pt>
                  <c:pt idx="16">
                    <c:v>April</c:v>
                  </c:pt>
                  <c:pt idx="17">
                    <c:v>May</c:v>
                  </c:pt>
                  <c:pt idx="18">
                    <c:v>June</c:v>
                  </c:pt>
                  <c:pt idx="19">
                    <c:v>July</c:v>
                  </c:pt>
                  <c:pt idx="20">
                    <c:v>August</c:v>
                  </c:pt>
                  <c:pt idx="21">
                    <c:v>September</c:v>
                  </c:pt>
                  <c:pt idx="22">
                    <c:v>October</c:v>
                  </c:pt>
                  <c:pt idx="23">
                    <c:v>November</c:v>
                  </c:pt>
                  <c:pt idx="24">
                    <c:v>December</c:v>
                  </c:pt>
                  <c:pt idx="25">
                    <c:v>January</c:v>
                  </c:pt>
                  <c:pt idx="26">
                    <c:v>February</c:v>
                  </c:pt>
                  <c:pt idx="27">
                    <c:v>March</c:v>
                  </c:pt>
                  <c:pt idx="28">
                    <c:v>April</c:v>
                  </c:pt>
                  <c:pt idx="29">
                    <c:v>May</c:v>
                  </c:pt>
                  <c:pt idx="30">
                    <c:v>June</c:v>
                  </c:pt>
                  <c:pt idx="31">
                    <c:v>July</c:v>
                  </c:pt>
                  <c:pt idx="32">
                    <c:v>August</c:v>
                  </c:pt>
                  <c:pt idx="33">
                    <c:v>September</c:v>
                  </c:pt>
                  <c:pt idx="34">
                    <c:v>October</c:v>
                  </c:pt>
                  <c:pt idx="35">
                    <c:v>November</c:v>
                  </c:pt>
                  <c:pt idx="36">
                    <c:v>December</c:v>
                  </c:pt>
                  <c:pt idx="37">
                    <c:v>January</c:v>
                  </c:pt>
                  <c:pt idx="38">
                    <c:v>February</c:v>
                  </c:pt>
                  <c:pt idx="39">
                    <c:v>March</c:v>
                  </c:pt>
                  <c:pt idx="40">
                    <c:v>April</c:v>
                  </c:pt>
                  <c:pt idx="41">
                    <c:v>May</c:v>
                  </c:pt>
                  <c:pt idx="42">
                    <c:v>June</c:v>
                  </c:pt>
                  <c:pt idx="43">
                    <c:v>July</c:v>
                  </c:pt>
                  <c:pt idx="44">
                    <c:v>August</c:v>
                  </c:pt>
                  <c:pt idx="45">
                    <c:v>September</c:v>
                  </c:pt>
                  <c:pt idx="46">
                    <c:v>October</c:v>
                  </c:pt>
                  <c:pt idx="47">
                    <c:v>November</c:v>
                  </c:pt>
                  <c:pt idx="48">
                    <c:v>December</c:v>
                  </c:pt>
                  <c:pt idx="49">
                    <c:v>January</c:v>
                  </c:pt>
                  <c:pt idx="50">
                    <c:v>February</c:v>
                  </c:pt>
                  <c:pt idx="51">
                    <c:v>March</c:v>
                  </c:pt>
                  <c:pt idx="52">
                    <c:v>April</c:v>
                  </c:pt>
                  <c:pt idx="53">
                    <c:v>May</c:v>
                  </c:pt>
                  <c:pt idx="54">
                    <c:v>June</c:v>
                  </c:pt>
                  <c:pt idx="55">
                    <c:v>July</c:v>
                  </c:pt>
                  <c:pt idx="56">
                    <c:v>August</c:v>
                  </c:pt>
                  <c:pt idx="57">
                    <c:v>September</c:v>
                  </c:pt>
                  <c:pt idx="58">
                    <c:v>October</c:v>
                  </c:pt>
                  <c:pt idx="59">
                    <c:v>November</c:v>
                  </c:pt>
                  <c:pt idx="60">
                    <c:v>December</c:v>
                  </c:pt>
                  <c:pt idx="61">
                    <c:v>January</c:v>
                  </c:pt>
                  <c:pt idx="62">
                    <c:v>February</c:v>
                  </c:pt>
                  <c:pt idx="63">
                    <c:v>March</c:v>
                  </c:pt>
                  <c:pt idx="64">
                    <c:v>April</c:v>
                  </c:pt>
                  <c:pt idx="65">
                    <c:v>May</c:v>
                  </c:pt>
                  <c:pt idx="66">
                    <c:v>June</c:v>
                  </c:pt>
                  <c:pt idx="67">
                    <c:v>July</c:v>
                  </c:pt>
                  <c:pt idx="68">
                    <c:v>August</c:v>
                  </c:pt>
                  <c:pt idx="69">
                    <c:v>September</c:v>
                  </c:pt>
                  <c:pt idx="70">
                    <c:v>October</c:v>
                  </c:pt>
                  <c:pt idx="71">
                    <c:v>November</c:v>
                  </c:pt>
                  <c:pt idx="72">
                    <c:v>December</c:v>
                  </c:pt>
                  <c:pt idx="73">
                    <c:v>January</c:v>
                  </c:pt>
                  <c:pt idx="74">
                    <c:v>February</c:v>
                  </c:pt>
                  <c:pt idx="75">
                    <c:v>March</c:v>
                  </c:pt>
                  <c:pt idx="76">
                    <c:v>April</c:v>
                  </c:pt>
                  <c:pt idx="77">
                    <c:v>May</c:v>
                  </c:pt>
                  <c:pt idx="78">
                    <c:v>June</c:v>
                  </c:pt>
                  <c:pt idx="79">
                    <c:v>July</c:v>
                  </c:pt>
                  <c:pt idx="80">
                    <c:v>August</c:v>
                  </c:pt>
                  <c:pt idx="81">
                    <c:v>September</c:v>
                  </c:pt>
                  <c:pt idx="82">
                    <c:v>October</c:v>
                  </c:pt>
                  <c:pt idx="83">
                    <c:v>November</c:v>
                  </c:pt>
                  <c:pt idx="84">
                    <c:v>December</c:v>
                  </c:pt>
                </c:lvl>
                <c:lvl>
                  <c:pt idx="0">
                    <c:v>Year</c:v>
                  </c:pt>
                  <c:pt idx="1">
                    <c:v>1996</c:v>
                  </c:pt>
                  <c:pt idx="13">
                    <c:v>1997</c:v>
                  </c:pt>
                  <c:pt idx="25">
                    <c:v>1998</c:v>
                  </c:pt>
                  <c:pt idx="37">
                    <c:v>1999</c:v>
                  </c:pt>
                  <c:pt idx="49">
                    <c:v>2000</c:v>
                  </c:pt>
                  <c:pt idx="61">
                    <c:v>2001</c:v>
                  </c:pt>
                  <c:pt idx="73">
                    <c:v>2002</c:v>
                  </c:pt>
                  <c:pt idx="82">
                    <c:v>2002</c:v>
                  </c:pt>
                </c:lvl>
              </c:multiLvlStrCache>
            </c:multiLvlStrRef>
          </c:cat>
          <c:val>
            <c:numRef>
              <c:f>'Time Series 2'!$D$18:$D$98</c:f>
              <c:numCache>
                <c:formatCode>General</c:formatCode>
                <c:ptCount val="81"/>
                <c:pt idx="0">
                  <c:v>4964</c:v>
                </c:pt>
                <c:pt idx="1">
                  <c:v>4968</c:v>
                </c:pt>
                <c:pt idx="2">
                  <c:v>5601</c:v>
                </c:pt>
                <c:pt idx="3">
                  <c:v>5454</c:v>
                </c:pt>
                <c:pt idx="4">
                  <c:v>5721</c:v>
                </c:pt>
                <c:pt idx="5">
                  <c:v>5690</c:v>
                </c:pt>
                <c:pt idx="6">
                  <c:v>5804</c:v>
                </c:pt>
                <c:pt idx="7">
                  <c:v>6040</c:v>
                </c:pt>
                <c:pt idx="8">
                  <c:v>5843</c:v>
                </c:pt>
                <c:pt idx="9">
                  <c:v>6087</c:v>
                </c:pt>
                <c:pt idx="10">
                  <c:v>6469</c:v>
                </c:pt>
                <c:pt idx="11">
                  <c:v>7002</c:v>
                </c:pt>
                <c:pt idx="12">
                  <c:v>5416</c:v>
                </c:pt>
                <c:pt idx="13">
                  <c:v>5393</c:v>
                </c:pt>
                <c:pt idx="14">
                  <c:v>5907</c:v>
                </c:pt>
                <c:pt idx="15">
                  <c:v>5768</c:v>
                </c:pt>
                <c:pt idx="16">
                  <c:v>6107</c:v>
                </c:pt>
                <c:pt idx="17">
                  <c:v>6016</c:v>
                </c:pt>
                <c:pt idx="18">
                  <c:v>6131</c:v>
                </c:pt>
                <c:pt idx="19">
                  <c:v>6499</c:v>
                </c:pt>
                <c:pt idx="20">
                  <c:v>6249</c:v>
                </c:pt>
                <c:pt idx="21">
                  <c:v>6472</c:v>
                </c:pt>
                <c:pt idx="22">
                  <c:v>6946</c:v>
                </c:pt>
                <c:pt idx="23">
                  <c:v>7615</c:v>
                </c:pt>
                <c:pt idx="24">
                  <c:v>5876</c:v>
                </c:pt>
                <c:pt idx="25">
                  <c:v>5818</c:v>
                </c:pt>
                <c:pt idx="26">
                  <c:v>6342</c:v>
                </c:pt>
                <c:pt idx="27">
                  <c:v>6143</c:v>
                </c:pt>
                <c:pt idx="28">
                  <c:v>6442</c:v>
                </c:pt>
                <c:pt idx="29">
                  <c:v>6407</c:v>
                </c:pt>
                <c:pt idx="30">
                  <c:v>6545</c:v>
                </c:pt>
                <c:pt idx="31">
                  <c:v>6758</c:v>
                </c:pt>
                <c:pt idx="32">
                  <c:v>6485</c:v>
                </c:pt>
                <c:pt idx="33">
                  <c:v>6805</c:v>
                </c:pt>
                <c:pt idx="34">
                  <c:v>7361</c:v>
                </c:pt>
                <c:pt idx="35">
                  <c:v>8079</c:v>
                </c:pt>
                <c:pt idx="36">
                  <c:v>6061</c:v>
                </c:pt>
                <c:pt idx="37">
                  <c:v>6187</c:v>
                </c:pt>
                <c:pt idx="38">
                  <c:v>6792</c:v>
                </c:pt>
                <c:pt idx="39">
                  <c:v>6587</c:v>
                </c:pt>
                <c:pt idx="40">
                  <c:v>6918</c:v>
                </c:pt>
                <c:pt idx="41">
                  <c:v>6920</c:v>
                </c:pt>
                <c:pt idx="42">
                  <c:v>7030</c:v>
                </c:pt>
                <c:pt idx="43">
                  <c:v>7491</c:v>
                </c:pt>
                <c:pt idx="44">
                  <c:v>7305</c:v>
                </c:pt>
                <c:pt idx="45">
                  <c:v>7571</c:v>
                </c:pt>
                <c:pt idx="46">
                  <c:v>8013</c:v>
                </c:pt>
                <c:pt idx="47">
                  <c:v>8727</c:v>
                </c:pt>
                <c:pt idx="48">
                  <c:v>6776</c:v>
                </c:pt>
                <c:pt idx="49">
                  <c:v>6847</c:v>
                </c:pt>
                <c:pt idx="50">
                  <c:v>7531</c:v>
                </c:pt>
                <c:pt idx="51">
                  <c:v>7333</c:v>
                </c:pt>
                <c:pt idx="52">
                  <c:v>7685</c:v>
                </c:pt>
                <c:pt idx="53">
                  <c:v>7518</c:v>
                </c:pt>
                <c:pt idx="54">
                  <c:v>7672</c:v>
                </c:pt>
                <c:pt idx="55">
                  <c:v>7992</c:v>
                </c:pt>
                <c:pt idx="56">
                  <c:v>7645</c:v>
                </c:pt>
                <c:pt idx="57">
                  <c:v>7923</c:v>
                </c:pt>
                <c:pt idx="58">
                  <c:v>8297</c:v>
                </c:pt>
                <c:pt idx="59">
                  <c:v>8537</c:v>
                </c:pt>
                <c:pt idx="60">
                  <c:v>7005</c:v>
                </c:pt>
                <c:pt idx="61">
                  <c:v>6855</c:v>
                </c:pt>
                <c:pt idx="62">
                  <c:v>7420</c:v>
                </c:pt>
                <c:pt idx="63">
                  <c:v>7183</c:v>
                </c:pt>
                <c:pt idx="64">
                  <c:v>7554</c:v>
                </c:pt>
                <c:pt idx="65">
                  <c:v>7475</c:v>
                </c:pt>
                <c:pt idx="66">
                  <c:v>7687</c:v>
                </c:pt>
                <c:pt idx="67">
                  <c:v>7922</c:v>
                </c:pt>
                <c:pt idx="68">
                  <c:v>7426</c:v>
                </c:pt>
                <c:pt idx="69">
                  <c:v>7736</c:v>
                </c:pt>
                <c:pt idx="70">
                  <c:v>8483</c:v>
                </c:pt>
                <c:pt idx="71">
                  <c:v>9329</c:v>
                </c:pt>
                <c:pt idx="72">
                  <c:v>7120</c:v>
                </c:pt>
                <c:pt idx="73">
                  <c:v>7124</c:v>
                </c:pt>
                <c:pt idx="74">
                  <c:v>7817</c:v>
                </c:pt>
                <c:pt idx="75">
                  <c:v>7538</c:v>
                </c:pt>
                <c:pt idx="76">
                  <c:v>7921</c:v>
                </c:pt>
                <c:pt idx="77">
                  <c:v>7757</c:v>
                </c:pt>
                <c:pt idx="78">
                  <c:v>7816</c:v>
                </c:pt>
                <c:pt idx="79">
                  <c:v>8208</c:v>
                </c:pt>
                <c:pt idx="80">
                  <c:v>7828</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0E5E-4C95-BD1B-13D959E1E111}"/>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'Time Series 2'!$B$17:$C$101</c:f>
              <c:multiLvlStrCache>
                <c:ptCount val="85"/>
                <c:lvl>
                  <c:pt idx="0">
                    <c:v>Mon/Yr</c:v>
                  </c:pt>
                  <c:pt idx="1">
                    <c:v>January</c:v>
                  </c:pt>
                  <c:pt idx="2">
                    <c:v>February</c:v>
                  </c:pt>
                  <c:pt idx="3">
                    <c:v>March</c:v>
                  </c:pt>
                  <c:pt idx="4">
                    <c:v>April</c:v>
                  </c:pt>
                  <c:pt idx="5">
                    <c:v>May</c:v>
                  </c:pt>
                  <c:pt idx="6">
                    <c:v>June</c:v>
                  </c:pt>
                  <c:pt idx="7">
                    <c:v>July</c:v>
                  </c:pt>
                  <c:pt idx="8">
                    <c:v>August</c:v>
                  </c:pt>
                  <c:pt idx="9">
                    <c:v>September</c:v>
                  </c:pt>
                  <c:pt idx="10">
                    <c:v>October</c:v>
                  </c:pt>
                  <c:pt idx="11">
                    <c:v>November</c:v>
                  </c:pt>
                  <c:pt idx="12">
                    <c:v>December</c:v>
                  </c:pt>
                  <c:pt idx="13">
                    <c:v>January</c:v>
                  </c:pt>
                  <c:pt idx="14">
                    <c:v>February</c:v>
                  </c:pt>
                  <c:pt idx="15">
                    <c:v>March</c:v>
                  </c:pt>
                  <c:pt idx="16">
                    <c:v>April</c:v>
                  </c:pt>
                  <c:pt idx="17">
                    <c:v>May</c:v>
                  </c:pt>
                  <c:pt idx="18">
                    <c:v>June</c:v>
                  </c:pt>
                  <c:pt idx="19">
                    <c:v>July</c:v>
                  </c:pt>
                  <c:pt idx="20">
                    <c:v>August</c:v>
                  </c:pt>
                  <c:pt idx="21">
                    <c:v>September</c:v>
                  </c:pt>
                  <c:pt idx="22">
                    <c:v>October</c:v>
                  </c:pt>
                  <c:pt idx="23">
                    <c:v>November</c:v>
                  </c:pt>
                  <c:pt idx="24">
                    <c:v>December</c:v>
                  </c:pt>
                  <c:pt idx="25">
                    <c:v>January</c:v>
                  </c:pt>
                  <c:pt idx="26">
                    <c:v>February</c:v>
                  </c:pt>
                  <c:pt idx="27">
                    <c:v>March</c:v>
                  </c:pt>
                  <c:pt idx="28">
                    <c:v>April</c:v>
                  </c:pt>
                  <c:pt idx="29">
                    <c:v>May</c:v>
                  </c:pt>
                  <c:pt idx="30">
                    <c:v>June</c:v>
                  </c:pt>
                  <c:pt idx="31">
                    <c:v>July</c:v>
                  </c:pt>
                  <c:pt idx="32">
                    <c:v>August</c:v>
                  </c:pt>
                  <c:pt idx="33">
                    <c:v>September</c:v>
                  </c:pt>
                  <c:pt idx="34">
                    <c:v>October</c:v>
                  </c:pt>
                  <c:pt idx="35">
                    <c:v>November</c:v>
                  </c:pt>
                  <c:pt idx="36">
                    <c:v>December</c:v>
                  </c:pt>
                  <c:pt idx="37">
                    <c:v>January</c:v>
                  </c:pt>
                  <c:pt idx="38">
                    <c:v>February</c:v>
                  </c:pt>
                  <c:pt idx="39">
                    <c:v>March</c:v>
                  </c:pt>
                  <c:pt idx="40">
                    <c:v>April</c:v>
                  </c:pt>
                  <c:pt idx="41">
                    <c:v>May</c:v>
                  </c:pt>
                  <c:pt idx="42">
                    <c:v>June</c:v>
                  </c:pt>
                  <c:pt idx="43">
                    <c:v>July</c:v>
                  </c:pt>
                  <c:pt idx="44">
                    <c:v>August</c:v>
                  </c:pt>
                  <c:pt idx="45">
                    <c:v>September</c:v>
                  </c:pt>
                  <c:pt idx="46">
                    <c:v>October</c:v>
                  </c:pt>
                  <c:pt idx="47">
                    <c:v>November</c:v>
                  </c:pt>
                  <c:pt idx="48">
                    <c:v>December</c:v>
                  </c:pt>
                  <c:pt idx="49">
                    <c:v>January</c:v>
                  </c:pt>
                  <c:pt idx="50">
                    <c:v>February</c:v>
                  </c:pt>
                  <c:pt idx="51">
                    <c:v>March</c:v>
                  </c:pt>
                  <c:pt idx="52">
                    <c:v>April</c:v>
                  </c:pt>
                  <c:pt idx="53">
                    <c:v>May</c:v>
                  </c:pt>
                  <c:pt idx="54">
                    <c:v>June</c:v>
                  </c:pt>
                  <c:pt idx="55">
                    <c:v>July</c:v>
                  </c:pt>
                  <c:pt idx="56">
                    <c:v>August</c:v>
                  </c:pt>
                  <c:pt idx="57">
                    <c:v>September</c:v>
                  </c:pt>
                  <c:pt idx="58">
                    <c:v>October</c:v>
                  </c:pt>
                  <c:pt idx="59">
                    <c:v>November</c:v>
                  </c:pt>
                  <c:pt idx="60">
                    <c:v>December</c:v>
                  </c:pt>
                  <c:pt idx="61">
                    <c:v>January</c:v>
                  </c:pt>
                  <c:pt idx="62">
                    <c:v>February</c:v>
                  </c:pt>
                  <c:pt idx="63">
                    <c:v>March</c:v>
                  </c:pt>
                  <c:pt idx="64">
                    <c:v>April</c:v>
                  </c:pt>
                  <c:pt idx="65">
                    <c:v>May</c:v>
                  </c:pt>
                  <c:pt idx="66">
                    <c:v>June</c:v>
                  </c:pt>
                  <c:pt idx="67">
                    <c:v>July</c:v>
                  </c:pt>
                  <c:pt idx="68">
                    <c:v>August</c:v>
                  </c:pt>
                  <c:pt idx="69">
                    <c:v>September</c:v>
                  </c:pt>
                  <c:pt idx="70">
                    <c:v>October</c:v>
                  </c:pt>
                  <c:pt idx="71">
                    <c:v>November</c:v>
                  </c:pt>
                  <c:pt idx="72">
                    <c:v>December</c:v>
                  </c:pt>
                  <c:pt idx="73">
                    <c:v>January</c:v>
                  </c:pt>
                  <c:pt idx="74">
                    <c:v>February</c:v>
                  </c:pt>
                  <c:pt idx="75">
                    <c:v>March</c:v>
                  </c:pt>
                  <c:pt idx="76">
                    <c:v>April</c:v>
                  </c:pt>
                  <c:pt idx="77">
                    <c:v>May</c:v>
                  </c:pt>
                  <c:pt idx="78">
                    <c:v>June</c:v>
                  </c:pt>
                  <c:pt idx="79">
                    <c:v>July</c:v>
                  </c:pt>
                  <c:pt idx="80">
                    <c:v>August</c:v>
                  </c:pt>
                  <c:pt idx="81">
                    <c:v>September</c:v>
                  </c:pt>
                  <c:pt idx="82">
                    <c:v>October</c:v>
                  </c:pt>
                  <c:pt idx="83">
                    <c:v>November</c:v>
                  </c:pt>
                  <c:pt idx="84">
                    <c:v>December</c:v>
                  </c:pt>
                </c:lvl>
                <c:lvl>
                  <c:pt idx="0">
                    <c:v>Year</c:v>
                  </c:pt>
                  <c:pt idx="1">
                    <c:v>1996</c:v>
                  </c:pt>
                  <c:pt idx="13">
                    <c:v>1997</c:v>
                  </c:pt>
                  <c:pt idx="25">
                    <c:v>1998</c:v>
                  </c:pt>
                  <c:pt idx="37">
                    <c:v>1999</c:v>
                  </c:pt>
                  <c:pt idx="49">
                    <c:v>2000</c:v>
                  </c:pt>
                  <c:pt idx="61">
                    <c:v>2001</c:v>
                  </c:pt>
                  <c:pt idx="73">
                    <c:v>2002</c:v>
                  </c:pt>
                  <c:pt idx="82">
                    <c:v>2002</c:v>
                  </c:pt>
                </c:lvl>
              </c:multiLvlStrCache>
            </c:multiLvlStrRef>
          </c:cat>
          <c:val>
            <c:numRef>
              <c:f>'Time Series 2'!$I$18:$I$113</c:f>
              <c:numCache>
                <c:formatCode>General</c:formatCode>
                <c:ptCount val="96"/>
                <c:pt idx="0">
                  <c:v>4817.9939613526576</c:v>
                </c:pt>
                <c:pt idx="1">
                  <c:v>4842.7125603864743</c:v>
                </c:pt>
                <c:pt idx="2">
                  <c:v>5459.9311594202909</c:v>
                </c:pt>
                <c:pt idx="3">
                  <c:v>5302.1497584541075</c:v>
                </c:pt>
                <c:pt idx="4">
                  <c:v>5658.3683574879242</c:v>
                </c:pt>
                <c:pt idx="5">
                  <c:v>5621.2536231884078</c:v>
                </c:pt>
                <c:pt idx="6">
                  <c:v>5791.4722222222244</c:v>
                </c:pt>
                <c:pt idx="7">
                  <c:v>6133.5138888888905</c:v>
                </c:pt>
                <c:pt idx="8">
                  <c:v>5872.4722222222244</c:v>
                </c:pt>
                <c:pt idx="9">
                  <c:v>6171.8055555555575</c:v>
                </c:pt>
                <c:pt idx="10">
                  <c:v>6696.8055555555575</c:v>
                </c:pt>
                <c:pt idx="11">
                  <c:v>7346.4722222222244</c:v>
                </c:pt>
                <c:pt idx="12">
                  <c:v>5175.1805555555575</c:v>
                </c:pt>
                <c:pt idx="13">
                  <c:v>5202.9305555555575</c:v>
                </c:pt>
                <c:pt idx="14">
                  <c:v>5826.4722222222235</c:v>
                </c:pt>
                <c:pt idx="15">
                  <c:v>5671.9305555555575</c:v>
                </c:pt>
                <c:pt idx="16">
                  <c:v>6034.3472222222235</c:v>
                </c:pt>
                <c:pt idx="17">
                  <c:v>6012.9305555555575</c:v>
                </c:pt>
                <c:pt idx="18">
                  <c:v>6198.1388888888905</c:v>
                </c:pt>
                <c:pt idx="19">
                  <c:v>6540.5138888888905</c:v>
                </c:pt>
                <c:pt idx="20">
                  <c:v>6284.8472222222244</c:v>
                </c:pt>
                <c:pt idx="21">
                  <c:v>6592.0972222222244</c:v>
                </c:pt>
                <c:pt idx="22">
                  <c:v>7117.5138888888905</c:v>
                </c:pt>
                <c:pt idx="23">
                  <c:v>7767.7638888888914</c:v>
                </c:pt>
                <c:pt idx="24">
                  <c:v>5602.8055555555575</c:v>
                </c:pt>
                <c:pt idx="25">
                  <c:v>5625.8472222222235</c:v>
                </c:pt>
                <c:pt idx="26">
                  <c:v>6233.9722222222235</c:v>
                </c:pt>
                <c:pt idx="27">
                  <c:v>6070.1805555555575</c:v>
                </c:pt>
                <c:pt idx="28">
                  <c:v>6427.8472222222235</c:v>
                </c:pt>
                <c:pt idx="29">
                  <c:v>6397.6388888888905</c:v>
                </c:pt>
                <c:pt idx="30">
                  <c:v>6565.1805555555575</c:v>
                </c:pt>
                <c:pt idx="31">
                  <c:v>6893.7638888888905</c:v>
                </c:pt>
                <c:pt idx="32">
                  <c:v>6636.3888888888905</c:v>
                </c:pt>
                <c:pt idx="33">
                  <c:v>6947.1388888888905</c:v>
                </c:pt>
                <c:pt idx="34">
                  <c:v>7481.3055555555575</c:v>
                </c:pt>
                <c:pt idx="35">
                  <c:v>8142.5138888888914</c:v>
                </c:pt>
                <c:pt idx="36">
                  <c:v>5985.5972222222235</c:v>
                </c:pt>
                <c:pt idx="37">
                  <c:v>6031.3472222222235</c:v>
                </c:pt>
                <c:pt idx="38">
                  <c:v>6683.5555555555575</c:v>
                </c:pt>
                <c:pt idx="39">
                  <c:v>6562.1388888888905</c:v>
                </c:pt>
                <c:pt idx="40">
                  <c:v>6947.7222222222235</c:v>
                </c:pt>
                <c:pt idx="41">
                  <c:v>6935.0555555555575</c:v>
                </c:pt>
                <c:pt idx="42">
                  <c:v>7132.3472222222244</c:v>
                </c:pt>
                <c:pt idx="43">
                  <c:v>7495.1388888888905</c:v>
                </c:pt>
                <c:pt idx="44">
                  <c:v>7261.9305555555575</c:v>
                </c:pt>
                <c:pt idx="45">
                  <c:v>7597.3055555555575</c:v>
                </c:pt>
                <c:pt idx="46">
                  <c:v>8156.1805555555575</c:v>
                </c:pt>
                <c:pt idx="47">
                  <c:v>8833.0555555555584</c:v>
                </c:pt>
                <c:pt idx="48">
                  <c:v>6686.2222222222235</c:v>
                </c:pt>
                <c:pt idx="49">
                  <c:v>6728.8472222222235</c:v>
                </c:pt>
                <c:pt idx="50">
                  <c:v>7351.3888888888905</c:v>
                </c:pt>
                <c:pt idx="51">
                  <c:v>7192.7222222222235</c:v>
                </c:pt>
                <c:pt idx="52">
                  <c:v>7545.7222222222235</c:v>
                </c:pt>
                <c:pt idx="53">
                  <c:v>7482.8055555555575</c:v>
                </c:pt>
                <c:pt idx="54">
                  <c:v>7624.9305555555575</c:v>
                </c:pt>
                <c:pt idx="55">
                  <c:v>7940.3055555555575</c:v>
                </c:pt>
                <c:pt idx="56">
                  <c:v>7644.5138888888905</c:v>
                </c:pt>
                <c:pt idx="57">
                  <c:v>7907.1388888888905</c:v>
                </c:pt>
                <c:pt idx="58">
                  <c:v>8391.2638888888905</c:v>
                </c:pt>
                <c:pt idx="59">
                  <c:v>9004.0138888888905</c:v>
                </c:pt>
                <c:pt idx="60">
                  <c:v>6804.3472222222235</c:v>
                </c:pt>
                <c:pt idx="61">
                  <c:v>6797.0555555555575</c:v>
                </c:pt>
                <c:pt idx="62">
                  <c:v>7372.5138888888905</c:v>
                </c:pt>
                <c:pt idx="63">
                  <c:v>7168.0972222222235</c:v>
                </c:pt>
                <c:pt idx="64">
                  <c:v>7494.5555555555575</c:v>
                </c:pt>
                <c:pt idx="65">
                  <c:v>7468.4722222222244</c:v>
                </c:pt>
                <c:pt idx="66">
                  <c:v>7646.7638888888905</c:v>
                </c:pt>
                <c:pt idx="67">
                  <c:v>7968.2638888888905</c:v>
                </c:pt>
                <c:pt idx="68">
                  <c:v>7704.5138888888905</c:v>
                </c:pt>
                <c:pt idx="69">
                  <c:v>8009.3472222222244</c:v>
                </c:pt>
                <c:pt idx="70">
                  <c:v>8535.2638888888905</c:v>
                </c:pt>
                <c:pt idx="71">
                  <c:v>9182.3055555555584</c:v>
                </c:pt>
                <c:pt idx="72">
                  <c:v>7000.9305555555575</c:v>
                </c:pt>
                <c:pt idx="73">
                  <c:v>7013.2222222222235</c:v>
                </c:pt>
                <c:pt idx="74">
                  <c:v>7629.3888888888905</c:v>
                </c:pt>
                <c:pt idx="75">
                  <c:v>7471.6074879227072</c:v>
                </c:pt>
                <c:pt idx="76">
                  <c:v>7827.8260869565238</c:v>
                </c:pt>
                <c:pt idx="77">
                  <c:v>7790.7113526570074</c:v>
                </c:pt>
                <c:pt idx="78">
                  <c:v>7960.9299516908241</c:v>
                </c:pt>
                <c:pt idx="79">
                  <c:v>8296.1485507246398</c:v>
                </c:pt>
                <c:pt idx="80">
                  <c:v>8034.3671497584573</c:v>
                </c:pt>
                <c:pt idx="81">
                  <c:v>8337.5857487922731</c:v>
                </c:pt>
                <c:pt idx="82">
                  <c:v>8863.1376811594237</c:v>
                </c:pt>
                <c:pt idx="83">
                  <c:v>9512.8562801932421</c:v>
                </c:pt>
                <c:pt idx="84">
                  <c:v>7344.074879227057</c:v>
                </c:pt>
                <c:pt idx="85">
                  <c:v>7368.7934782608736</c:v>
                </c:pt>
                <c:pt idx="86">
                  <c:v>7986.0120772946902</c:v>
                </c:pt>
                <c:pt idx="87">
                  <c:v>7828.2306763285069</c:v>
                </c:pt>
                <c:pt idx="88">
                  <c:v>8184.4492753623235</c:v>
                </c:pt>
                <c:pt idx="89">
                  <c:v>8147.3345410628071</c:v>
                </c:pt>
                <c:pt idx="90">
                  <c:v>8317.5531400966247</c:v>
                </c:pt>
                <c:pt idx="91">
                  <c:v>8652.7717391304395</c:v>
                </c:pt>
                <c:pt idx="92">
                  <c:v>8390.990338164258</c:v>
                </c:pt>
                <c:pt idx="93">
                  <c:v>8694.2089371980728</c:v>
                </c:pt>
                <c:pt idx="94">
                  <c:v>9219.7608695652234</c:v>
                </c:pt>
                <c:pt idx="95">
                  <c:v>9869.4794685990419</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0E5E-4C95-BD1B-13D959E1E111}"/>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'Time Series 2'!$G$18:$G$113</c:f>
              <c:numCache>
                <c:formatCode>General</c:formatCode>
                <c:ptCount val="96"/>
                <c:pt idx="0">
                  <c:v>5644.1050724637671</c:v>
                </c:pt>
                <c:pt idx="1">
                  <c:v>5673.8236714975837</c:v>
                </c:pt>
                <c:pt idx="2">
                  <c:v>5703.5422705314004</c:v>
                </c:pt>
                <c:pt idx="3">
                  <c:v>5733.260869565217</c:v>
                </c:pt>
                <c:pt idx="4">
                  <c:v>5762.9794685990337</c:v>
                </c:pt>
                <c:pt idx="5">
                  <c:v>5792.6980676328503</c:v>
                </c:pt>
                <c:pt idx="6">
                  <c:v>5822.416666666667</c:v>
                </c:pt>
                <c:pt idx="7">
                  <c:v>5858.958333333333</c:v>
                </c:pt>
                <c:pt idx="8">
                  <c:v>5889.416666666667</c:v>
                </c:pt>
                <c:pt idx="9">
                  <c:v>5915.25</c:v>
                </c:pt>
                <c:pt idx="10">
                  <c:v>5944.416666666667</c:v>
                </c:pt>
                <c:pt idx="11">
                  <c:v>5974.083333333333</c:v>
                </c:pt>
                <c:pt idx="12">
                  <c:v>6001.291666666667</c:v>
                </c:pt>
                <c:pt idx="13">
                  <c:v>6034.041666666667</c:v>
                </c:pt>
                <c:pt idx="14">
                  <c:v>6070.083333333333</c:v>
                </c:pt>
                <c:pt idx="15">
                  <c:v>6103.041666666667</c:v>
                </c:pt>
                <c:pt idx="16">
                  <c:v>6138.958333333333</c:v>
                </c:pt>
                <c:pt idx="17">
                  <c:v>6184.375</c:v>
                </c:pt>
                <c:pt idx="18">
                  <c:v>6229.083333333333</c:v>
                </c:pt>
                <c:pt idx="19">
                  <c:v>6265.958333333333</c:v>
                </c:pt>
                <c:pt idx="20">
                  <c:v>6301.791666666667</c:v>
                </c:pt>
                <c:pt idx="21">
                  <c:v>6335.541666666667</c:v>
                </c:pt>
                <c:pt idx="22">
                  <c:v>6365.125</c:v>
                </c:pt>
                <c:pt idx="23">
                  <c:v>6395.375</c:v>
                </c:pt>
                <c:pt idx="24">
                  <c:v>6428.916666666667</c:v>
                </c:pt>
                <c:pt idx="25">
                  <c:v>6456.958333333333</c:v>
                </c:pt>
                <c:pt idx="26">
                  <c:v>6477.583333333333</c:v>
                </c:pt>
                <c:pt idx="27">
                  <c:v>6501.291666666667</c:v>
                </c:pt>
                <c:pt idx="28">
                  <c:v>6532.458333333333</c:v>
                </c:pt>
                <c:pt idx="29">
                  <c:v>6569.083333333333</c:v>
                </c:pt>
                <c:pt idx="30">
                  <c:v>6596.125</c:v>
                </c:pt>
                <c:pt idx="31">
                  <c:v>6619.208333333333</c:v>
                </c:pt>
                <c:pt idx="32">
                  <c:v>6653.333333333333</c:v>
                </c:pt>
                <c:pt idx="33">
                  <c:v>6690.583333333333</c:v>
                </c:pt>
                <c:pt idx="34">
                  <c:v>6728.916666666667</c:v>
                </c:pt>
                <c:pt idx="35">
                  <c:v>6770.125</c:v>
                </c:pt>
                <c:pt idx="36">
                  <c:v>6811.708333333333</c:v>
                </c:pt>
                <c:pt idx="37">
                  <c:v>6862.458333333333</c:v>
                </c:pt>
                <c:pt idx="38">
                  <c:v>6927.166666666667</c:v>
                </c:pt>
                <c:pt idx="39">
                  <c:v>6993.25</c:v>
                </c:pt>
                <c:pt idx="40">
                  <c:v>7052.333333333333</c:v>
                </c:pt>
                <c:pt idx="41">
                  <c:v>7106.5</c:v>
                </c:pt>
                <c:pt idx="42">
                  <c:v>7163.291666666667</c:v>
                </c:pt>
                <c:pt idx="43">
                  <c:v>7220.583333333333</c:v>
                </c:pt>
                <c:pt idx="44">
                  <c:v>7278.875</c:v>
                </c:pt>
                <c:pt idx="45">
                  <c:v>7340.75</c:v>
                </c:pt>
                <c:pt idx="46">
                  <c:v>7403.791666666667</c:v>
                </c:pt>
                <c:pt idx="47">
                  <c:v>7460.666666666667</c:v>
                </c:pt>
                <c:pt idx="48">
                  <c:v>7512.333333333333</c:v>
                </c:pt>
                <c:pt idx="49">
                  <c:v>7559.958333333333</c:v>
                </c:pt>
                <c:pt idx="50">
                  <c:v>7595</c:v>
                </c:pt>
                <c:pt idx="51">
                  <c:v>7623.833333333333</c:v>
                </c:pt>
                <c:pt idx="52">
                  <c:v>7650.333333333333</c:v>
                </c:pt>
                <c:pt idx="53">
                  <c:v>7654.25</c:v>
                </c:pt>
                <c:pt idx="54">
                  <c:v>7655.875</c:v>
                </c:pt>
                <c:pt idx="55">
                  <c:v>7665.75</c:v>
                </c:pt>
                <c:pt idx="56">
                  <c:v>7661.458333333333</c:v>
                </c:pt>
                <c:pt idx="57">
                  <c:v>7650.583333333333</c:v>
                </c:pt>
                <c:pt idx="58">
                  <c:v>7638.875</c:v>
                </c:pt>
                <c:pt idx="59">
                  <c:v>7631.625</c:v>
                </c:pt>
                <c:pt idx="60">
                  <c:v>7630.458333333333</c:v>
                </c:pt>
                <c:pt idx="61">
                  <c:v>7628.166666666667</c:v>
                </c:pt>
                <c:pt idx="62">
                  <c:v>7616.125</c:v>
                </c:pt>
                <c:pt idx="63">
                  <c:v>7599.208333333333</c:v>
                </c:pt>
                <c:pt idx="64">
                  <c:v>7599.166666666667</c:v>
                </c:pt>
                <c:pt idx="65">
                  <c:v>7639.916666666667</c:v>
                </c:pt>
                <c:pt idx="66">
                  <c:v>7677.708333333333</c:v>
                </c:pt>
                <c:pt idx="67">
                  <c:v>7693.708333333333</c:v>
                </c:pt>
                <c:pt idx="68">
                  <c:v>7721.458333333333</c:v>
                </c:pt>
                <c:pt idx="69">
                  <c:v>7752.791666666667</c:v>
                </c:pt>
                <c:pt idx="70">
                  <c:v>7782.875</c:v>
                </c:pt>
                <c:pt idx="71">
                  <c:v>7809.916666666667</c:v>
                </c:pt>
                <c:pt idx="72">
                  <c:v>7827.041666666667</c:v>
                </c:pt>
                <c:pt idx="73">
                  <c:v>7844.333333333333</c:v>
                </c:pt>
                <c:pt idx="74">
                  <c:v>7873</c:v>
                </c:pt>
                <c:pt idx="75">
                  <c:v>7902.7185990338166</c:v>
                </c:pt>
                <c:pt idx="76">
                  <c:v>7932.4371980676333</c:v>
                </c:pt>
                <c:pt idx="77">
                  <c:v>7962.1557971014499</c:v>
                </c:pt>
                <c:pt idx="78">
                  <c:v>7991.8743961352666</c:v>
                </c:pt>
                <c:pt idx="79">
                  <c:v>8021.5929951690832</c:v>
                </c:pt>
                <c:pt idx="80">
                  <c:v>8051.3115942028999</c:v>
                </c:pt>
                <c:pt idx="81">
                  <c:v>8081.0301932367165</c:v>
                </c:pt>
                <c:pt idx="82">
                  <c:v>8110.7487922705332</c:v>
                </c:pt>
                <c:pt idx="83">
                  <c:v>8140.4673913043498</c:v>
                </c:pt>
                <c:pt idx="84">
                  <c:v>8170.1859903381664</c:v>
                </c:pt>
                <c:pt idx="85">
                  <c:v>8199.9045893719831</c:v>
                </c:pt>
                <c:pt idx="86">
                  <c:v>8229.6231884057997</c:v>
                </c:pt>
                <c:pt idx="87">
                  <c:v>8259.3417874396164</c:v>
                </c:pt>
                <c:pt idx="88">
                  <c:v>8289.060386473433</c:v>
                </c:pt>
                <c:pt idx="89">
                  <c:v>8318.7789855072497</c:v>
                </c:pt>
                <c:pt idx="90">
                  <c:v>8348.4975845410663</c:v>
                </c:pt>
                <c:pt idx="91">
                  <c:v>8378.216183574883</c:v>
                </c:pt>
                <c:pt idx="92">
                  <c:v>8407.9347826086996</c:v>
                </c:pt>
                <c:pt idx="93">
                  <c:v>8437.6533816425163</c:v>
                </c:pt>
                <c:pt idx="94">
                  <c:v>8467.3719806763329</c:v>
                </c:pt>
                <c:pt idx="95">
                  <c:v>8497.0905797101495</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0E5E-4C95-BD1B-13D959E1E111}"/>
            </c:ext>
          </c:extLst>
        </c:ser>
        <c:dLbls>
          <c:showLegendKey val="0"/>
          <c:showVal val="0"/>
          <c:showCatName val="0"/>
          <c:showSerName val="0"/>
          <c:showPercent val="0"/>
          <c:showBubbleSize val="0"/>
        </c:dLbls>
        <c:marker val="1"/>
        <c:smooth val="0"/>
        <c:axId val="179422360"/>
        <c:axId val="179424328"/>
      </c:lineChart>
      <c:catAx>
        <c:axId val="179422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24328"/>
        <c:crosses val="autoZero"/>
        <c:auto val="1"/>
        <c:lblAlgn val="ctr"/>
        <c:lblOffset val="100"/>
        <c:noMultiLvlLbl val="0"/>
      </c:catAx>
      <c:valAx>
        <c:axId val="179424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22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ltVert">
      <a:fgClr>
        <a:schemeClr val="accent1">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81782633420822393"/>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'Holt''s Method'!$C$4:$C$27</c:f>
              <c:numCache>
                <c:formatCode>General</c:formatCode>
                <c:ptCount val="24"/>
                <c:pt idx="0">
                  <c:v>500</c:v>
                </c:pt>
                <c:pt idx="1">
                  <c:v>350</c:v>
                </c:pt>
                <c:pt idx="2">
                  <c:v>250</c:v>
                </c:pt>
                <c:pt idx="3">
                  <c:v>400</c:v>
                </c:pt>
                <c:pt idx="4">
                  <c:v>450</c:v>
                </c:pt>
                <c:pt idx="5">
                  <c:v>350</c:v>
                </c:pt>
                <c:pt idx="6">
                  <c:v>200</c:v>
                </c:pt>
                <c:pt idx="7">
                  <c:v>300</c:v>
                </c:pt>
                <c:pt idx="8">
                  <c:v>350</c:v>
                </c:pt>
                <c:pt idx="9">
                  <c:v>200</c:v>
                </c:pt>
                <c:pt idx="10">
                  <c:v>150</c:v>
                </c:pt>
                <c:pt idx="11">
                  <c:v>400</c:v>
                </c:pt>
                <c:pt idx="12">
                  <c:v>550</c:v>
                </c:pt>
                <c:pt idx="13">
                  <c:v>350</c:v>
                </c:pt>
                <c:pt idx="14">
                  <c:v>250</c:v>
                </c:pt>
                <c:pt idx="15">
                  <c:v>550</c:v>
                </c:pt>
                <c:pt idx="16">
                  <c:v>550</c:v>
                </c:pt>
                <c:pt idx="17">
                  <c:v>400</c:v>
                </c:pt>
                <c:pt idx="18">
                  <c:v>350</c:v>
                </c:pt>
                <c:pt idx="19">
                  <c:v>600</c:v>
                </c:pt>
                <c:pt idx="20">
                  <c:v>750</c:v>
                </c:pt>
                <c:pt idx="21">
                  <c:v>500</c:v>
                </c:pt>
                <c:pt idx="22">
                  <c:v>400</c:v>
                </c:pt>
                <c:pt idx="23">
                  <c:v>650</c:v>
                </c:pt>
              </c:numCache>
            </c:numRef>
          </c:val>
          <c:smooth val="0"/>
          <c:extLst>
            <c:ext xmlns:c16="http://schemas.microsoft.com/office/drawing/2014/chart" uri="{C3380CC4-5D6E-409C-BE32-E72D297353CC}">
              <c16:uniqueId val="{00000000-A04D-4E19-98D1-4501CC67C75C}"/>
            </c:ext>
          </c:extLst>
        </c:ser>
        <c:dLbls>
          <c:showLegendKey val="0"/>
          <c:showVal val="0"/>
          <c:showCatName val="0"/>
          <c:showSerName val="0"/>
          <c:showPercent val="0"/>
          <c:showBubbleSize val="0"/>
        </c:dLbls>
        <c:marker val="1"/>
        <c:smooth val="0"/>
        <c:axId val="545889616"/>
        <c:axId val="545895192"/>
      </c:lineChart>
      <c:catAx>
        <c:axId val="54588961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95192"/>
        <c:crosses val="autoZero"/>
        <c:auto val="1"/>
        <c:lblAlgn val="ctr"/>
        <c:lblOffset val="100"/>
        <c:noMultiLvlLbl val="0"/>
      </c:catAx>
      <c:valAx>
        <c:axId val="5458951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8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26113149026274"/>
          <c:y val="0.17924644974118187"/>
          <c:w val="0.59368989889952584"/>
          <c:h val="0.69414404695447751"/>
        </c:manualLayout>
      </c:layout>
      <c:lineChart>
        <c:grouping val="standard"/>
        <c:varyColors val="0"/>
        <c:ser>
          <c:idx val="1"/>
          <c:order val="0"/>
          <c:tx>
            <c:strRef>
              <c:f>Timeseries!$E$1</c:f>
              <c:strCache>
                <c:ptCount val="1"/>
                <c:pt idx="0">
                  <c:v>Sales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val>
            <c:numRef>
              <c:f>Timeseries!$E$2:$E$64</c:f>
              <c:numCache>
                <c:formatCode>General</c:formatCode>
                <c:ptCount val="63"/>
                <c:pt idx="0">
                  <c:v>218.1</c:v>
                </c:pt>
                <c:pt idx="1">
                  <c:v>245.4</c:v>
                </c:pt>
                <c:pt idx="2">
                  <c:v>265.5</c:v>
                </c:pt>
                <c:pt idx="3">
                  <c:v>203.5</c:v>
                </c:pt>
                <c:pt idx="4">
                  <c:v>235.1</c:v>
                </c:pt>
                <c:pt idx="5">
                  <c:v>258</c:v>
                </c:pt>
                <c:pt idx="6">
                  <c:v>308.39999999999998</c:v>
                </c:pt>
                <c:pt idx="7">
                  <c:v>211.8</c:v>
                </c:pt>
                <c:pt idx="8">
                  <c:v>247.7</c:v>
                </c:pt>
                <c:pt idx="9">
                  <c:v>275.8</c:v>
                </c:pt>
                <c:pt idx="10">
                  <c:v>295</c:v>
                </c:pt>
                <c:pt idx="11">
                  <c:v>270.10000000000002</c:v>
                </c:pt>
                <c:pt idx="12">
                  <c:v>315.7</c:v>
                </c:pt>
                <c:pt idx="13">
                  <c:v>358.5</c:v>
                </c:pt>
                <c:pt idx="14">
                  <c:v>363</c:v>
                </c:pt>
                <c:pt idx="15">
                  <c:v>302.2</c:v>
                </c:pt>
                <c:pt idx="16">
                  <c:v>407.3</c:v>
                </c:pt>
                <c:pt idx="17">
                  <c:v>483.3</c:v>
                </c:pt>
                <c:pt idx="18">
                  <c:v>463.2</c:v>
                </c:pt>
                <c:pt idx="19">
                  <c:v>426.5</c:v>
                </c:pt>
                <c:pt idx="20">
                  <c:v>451.5</c:v>
                </c:pt>
                <c:pt idx="21">
                  <c:v>546.9</c:v>
                </c:pt>
                <c:pt idx="22">
                  <c:v>590.4</c:v>
                </c:pt>
                <c:pt idx="23">
                  <c:v>504.2</c:v>
                </c:pt>
                <c:pt idx="24">
                  <c:v>592.4</c:v>
                </c:pt>
                <c:pt idx="25">
                  <c:v>647.9</c:v>
                </c:pt>
                <c:pt idx="26">
                  <c:v>726.4</c:v>
                </c:pt>
                <c:pt idx="27">
                  <c:v>755.5</c:v>
                </c:pt>
                <c:pt idx="28">
                  <c:v>766.4</c:v>
                </c:pt>
                <c:pt idx="29">
                  <c:v>819.4</c:v>
                </c:pt>
                <c:pt idx="30">
                  <c:v>630.1</c:v>
                </c:pt>
                <c:pt idx="31">
                  <c:v>734.6</c:v>
                </c:pt>
                <c:pt idx="32">
                  <c:v>774.5</c:v>
                </c:pt>
                <c:pt idx="33">
                  <c:v>915.7</c:v>
                </c:pt>
                <c:pt idx="34">
                  <c:v>1013.4</c:v>
                </c:pt>
                <c:pt idx="35">
                  <c:v>1043.5999999999999</c:v>
                </c:pt>
                <c:pt idx="36">
                  <c:v>1037.9000000000001</c:v>
                </c:pt>
                <c:pt idx="37">
                  <c:v>1167.5999999999999</c:v>
                </c:pt>
                <c:pt idx="38">
                  <c:v>1345.1</c:v>
                </c:pt>
                <c:pt idx="39">
                  <c:v>1288.2</c:v>
                </c:pt>
                <c:pt idx="40">
                  <c:v>1303.8</c:v>
                </c:pt>
                <c:pt idx="41">
                  <c:v>1539.5</c:v>
                </c:pt>
                <c:pt idx="42">
                  <c:v>1712.2</c:v>
                </c:pt>
                <c:pt idx="43">
                  <c:v>1492.4</c:v>
                </c:pt>
                <c:pt idx="44">
                  <c:v>1439</c:v>
                </c:pt>
                <c:pt idx="45">
                  <c:v>1511.6</c:v>
                </c:pt>
                <c:pt idx="46">
                  <c:v>1739.4</c:v>
                </c:pt>
                <c:pt idx="47">
                  <c:v>1936.6</c:v>
                </c:pt>
                <c:pt idx="48">
                  <c:v>1655.1</c:v>
                </c:pt>
                <c:pt idx="49">
                  <c:v>1853.5</c:v>
                </c:pt>
                <c:pt idx="50">
                  <c:v>2079.1</c:v>
                </c:pt>
                <c:pt idx="51">
                  <c:v>2391.4</c:v>
                </c:pt>
                <c:pt idx="52">
                  <c:v>2026.5</c:v>
                </c:pt>
                <c:pt idx="53">
                  <c:v>1936.8</c:v>
                </c:pt>
                <c:pt idx="54">
                  <c:v>2174.5</c:v>
                </c:pt>
                <c:pt idx="55">
                  <c:v>2727.3</c:v>
                </c:pt>
                <c:pt idx="56">
                  <c:v>2275.8000000000002</c:v>
                </c:pt>
                <c:pt idx="57">
                  <c:v>2353.6</c:v>
                </c:pt>
                <c:pt idx="58">
                  <c:v>2698.4</c:v>
                </c:pt>
                <c:pt idx="59">
                  <c:v>3301.7</c:v>
                </c:pt>
                <c:pt idx="60">
                  <c:v>2922.8</c:v>
                </c:pt>
                <c:pt idx="61">
                  <c:v>2764</c:v>
                </c:pt>
                <c:pt idx="62">
                  <c:v>3123.6</c:v>
                </c:pt>
              </c:numCache>
            </c:numRef>
          </c:val>
          <c:smooth val="0"/>
          <c:extLst>
            <c:ext xmlns:c16="http://schemas.microsoft.com/office/drawing/2014/chart" uri="{C3380CC4-5D6E-409C-BE32-E72D297353CC}">
              <c16:uniqueId val="{00000000-3C9B-4ABB-AB61-845FC5B1AD38}"/>
            </c:ext>
          </c:extLst>
        </c:ser>
        <c:ser>
          <c:idx val="0"/>
          <c:order val="1"/>
          <c:tx>
            <c:strRef>
              <c:f>Timeseries!$F$1</c:f>
              <c:strCache>
                <c:ptCount val="1"/>
                <c:pt idx="0">
                  <c:v>Trend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val>
            <c:numRef>
              <c:f>Timeseries!$F$2:$F$64</c:f>
              <c:numCache>
                <c:formatCode>General</c:formatCode>
                <c:ptCount val="63"/>
                <c:pt idx="0">
                  <c:v>-259.51840277777808</c:v>
                </c:pt>
                <c:pt idx="1">
                  <c:v>-214.55472670250924</c:v>
                </c:pt>
                <c:pt idx="2">
                  <c:v>-169.59105062724043</c:v>
                </c:pt>
                <c:pt idx="3">
                  <c:v>-124.6273745519716</c:v>
                </c:pt>
                <c:pt idx="4">
                  <c:v>-79.663698476702763</c:v>
                </c:pt>
                <c:pt idx="5">
                  <c:v>-34.700022401433955</c:v>
                </c:pt>
                <c:pt idx="6">
                  <c:v>10.263653673834881</c:v>
                </c:pt>
                <c:pt idx="7">
                  <c:v>55.227329749103717</c:v>
                </c:pt>
                <c:pt idx="8">
                  <c:v>100.19100582437255</c:v>
                </c:pt>
                <c:pt idx="9">
                  <c:v>145.15468189964139</c:v>
                </c:pt>
                <c:pt idx="10">
                  <c:v>190.11835797491023</c:v>
                </c:pt>
                <c:pt idx="11">
                  <c:v>235.082034050179</c:v>
                </c:pt>
                <c:pt idx="12">
                  <c:v>280.04571012544784</c:v>
                </c:pt>
                <c:pt idx="13">
                  <c:v>325.00938620071668</c:v>
                </c:pt>
                <c:pt idx="14">
                  <c:v>369.97306227598551</c:v>
                </c:pt>
                <c:pt idx="15">
                  <c:v>414.93673835125435</c:v>
                </c:pt>
                <c:pt idx="16">
                  <c:v>459.90041442652318</c:v>
                </c:pt>
                <c:pt idx="17">
                  <c:v>504.86409050179202</c:v>
                </c:pt>
                <c:pt idx="18">
                  <c:v>549.82776657706086</c:v>
                </c:pt>
                <c:pt idx="19">
                  <c:v>594.79144265232969</c:v>
                </c:pt>
                <c:pt idx="20">
                  <c:v>639.75511872759853</c:v>
                </c:pt>
                <c:pt idx="21">
                  <c:v>684.71879480286736</c:v>
                </c:pt>
                <c:pt idx="22">
                  <c:v>729.6824708781362</c:v>
                </c:pt>
                <c:pt idx="23">
                  <c:v>774.64614695340492</c:v>
                </c:pt>
                <c:pt idx="24">
                  <c:v>819.60982302867387</c:v>
                </c:pt>
                <c:pt idx="25">
                  <c:v>864.57349910394259</c:v>
                </c:pt>
                <c:pt idx="26">
                  <c:v>909.53717517921154</c:v>
                </c:pt>
                <c:pt idx="27">
                  <c:v>954.50085125448027</c:v>
                </c:pt>
                <c:pt idx="28">
                  <c:v>999.46452732974922</c:v>
                </c:pt>
                <c:pt idx="29">
                  <c:v>1044.4282034050179</c:v>
                </c:pt>
                <c:pt idx="30">
                  <c:v>1089.3918794802869</c:v>
                </c:pt>
                <c:pt idx="31">
                  <c:v>1134.3555555555556</c:v>
                </c:pt>
                <c:pt idx="32">
                  <c:v>1179.3192316308243</c:v>
                </c:pt>
                <c:pt idx="33">
                  <c:v>1224.2829077060933</c:v>
                </c:pt>
                <c:pt idx="34">
                  <c:v>1269.246583781362</c:v>
                </c:pt>
                <c:pt idx="35">
                  <c:v>1314.210259856631</c:v>
                </c:pt>
                <c:pt idx="36">
                  <c:v>1359.1739359318997</c:v>
                </c:pt>
                <c:pt idx="37">
                  <c:v>1404.1376120071686</c:v>
                </c:pt>
                <c:pt idx="38">
                  <c:v>1449.1012880824373</c:v>
                </c:pt>
                <c:pt idx="39">
                  <c:v>1494.0649641577063</c:v>
                </c:pt>
                <c:pt idx="40">
                  <c:v>1539.028640232975</c:v>
                </c:pt>
                <c:pt idx="41">
                  <c:v>1583.992316308244</c:v>
                </c:pt>
                <c:pt idx="42">
                  <c:v>1628.9559923835127</c:v>
                </c:pt>
                <c:pt idx="43">
                  <c:v>1673.9196684587816</c:v>
                </c:pt>
                <c:pt idx="44">
                  <c:v>1718.8833445340504</c:v>
                </c:pt>
                <c:pt idx="45">
                  <c:v>1763.8470206093193</c:v>
                </c:pt>
                <c:pt idx="46">
                  <c:v>1808.810696684588</c:v>
                </c:pt>
                <c:pt idx="47">
                  <c:v>1853.7743727598568</c:v>
                </c:pt>
                <c:pt idx="48">
                  <c:v>1898.7380488351255</c:v>
                </c:pt>
                <c:pt idx="49">
                  <c:v>1943.7017249103947</c:v>
                </c:pt>
                <c:pt idx="50">
                  <c:v>1988.6654009856634</c:v>
                </c:pt>
                <c:pt idx="51">
                  <c:v>2033.6290770609321</c:v>
                </c:pt>
                <c:pt idx="52">
                  <c:v>2078.5927531362008</c:v>
                </c:pt>
                <c:pt idx="53">
                  <c:v>2123.55642921147</c:v>
                </c:pt>
                <c:pt idx="54">
                  <c:v>2168.5201052867387</c:v>
                </c:pt>
                <c:pt idx="55">
                  <c:v>2213.4837813620074</c:v>
                </c:pt>
                <c:pt idx="56">
                  <c:v>2258.4474574372762</c:v>
                </c:pt>
                <c:pt idx="57">
                  <c:v>2303.4111335125453</c:v>
                </c:pt>
                <c:pt idx="58">
                  <c:v>2348.3748095878141</c:v>
                </c:pt>
                <c:pt idx="59">
                  <c:v>2393.3384856630828</c:v>
                </c:pt>
                <c:pt idx="60">
                  <c:v>2438.3021617383515</c:v>
                </c:pt>
                <c:pt idx="61">
                  <c:v>2483.2658378136207</c:v>
                </c:pt>
                <c:pt idx="62">
                  <c:v>2528.2295138888894</c:v>
                </c:pt>
              </c:numCache>
            </c:numRef>
          </c:val>
          <c:smooth val="0"/>
          <c:extLst>
            <c:ext xmlns:c16="http://schemas.microsoft.com/office/drawing/2014/chart" uri="{C3380CC4-5D6E-409C-BE32-E72D297353CC}">
              <c16:uniqueId val="{00000001-3C9B-4ABB-AB61-845FC5B1AD38}"/>
            </c:ext>
          </c:extLst>
        </c:ser>
        <c:ser>
          <c:idx val="2"/>
          <c:order val="2"/>
          <c:tx>
            <c:strRef>
              <c:f>Timeseries!$G$1</c:f>
              <c:strCache>
                <c:ptCount val="1"/>
                <c:pt idx="0">
                  <c:v>Trend Quadratic</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2"/>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Timeseries!$G$2:$G$64</c:f>
              <c:numCache>
                <c:formatCode>General</c:formatCode>
                <c:ptCount val="63"/>
                <c:pt idx="0">
                  <c:v>264.35160256410222</c:v>
                </c:pt>
                <c:pt idx="1">
                  <c:v>258.61818134822136</c:v>
                </c:pt>
                <c:pt idx="2">
                  <c:v>254.54696004352576</c:v>
                </c:pt>
                <c:pt idx="3">
                  <c:v>252.13793865001537</c:v>
                </c:pt>
                <c:pt idx="4">
                  <c:v>251.3911171676902</c:v>
                </c:pt>
                <c:pt idx="5">
                  <c:v>252.30649559655032</c:v>
                </c:pt>
                <c:pt idx="6">
                  <c:v>254.88407393659563</c:v>
                </c:pt>
                <c:pt idx="7">
                  <c:v>259.12385218782617</c:v>
                </c:pt>
                <c:pt idx="8">
                  <c:v>265.02583035024196</c:v>
                </c:pt>
                <c:pt idx="9">
                  <c:v>272.59000842384296</c:v>
                </c:pt>
                <c:pt idx="10">
                  <c:v>281.81638640862923</c:v>
                </c:pt>
                <c:pt idx="11">
                  <c:v>292.70496430460076</c:v>
                </c:pt>
                <c:pt idx="12">
                  <c:v>305.25574211175751</c:v>
                </c:pt>
                <c:pt idx="13">
                  <c:v>319.46871983009947</c:v>
                </c:pt>
                <c:pt idx="14">
                  <c:v>335.34389745962665</c:v>
                </c:pt>
                <c:pt idx="15">
                  <c:v>352.88127500033909</c:v>
                </c:pt>
                <c:pt idx="16">
                  <c:v>372.08085245223674</c:v>
                </c:pt>
                <c:pt idx="17">
                  <c:v>392.94262981531966</c:v>
                </c:pt>
                <c:pt idx="18">
                  <c:v>415.4666070895878</c:v>
                </c:pt>
                <c:pt idx="19">
                  <c:v>439.6527842750412</c:v>
                </c:pt>
                <c:pt idx="20">
                  <c:v>465.50116137167981</c:v>
                </c:pt>
                <c:pt idx="21">
                  <c:v>493.01173837950364</c:v>
                </c:pt>
                <c:pt idx="22">
                  <c:v>522.18451529851268</c:v>
                </c:pt>
                <c:pt idx="23">
                  <c:v>553.01949212870704</c:v>
                </c:pt>
                <c:pt idx="24">
                  <c:v>585.51666887008662</c:v>
                </c:pt>
                <c:pt idx="25">
                  <c:v>619.67604552265141</c:v>
                </c:pt>
                <c:pt idx="26">
                  <c:v>655.49762208640141</c:v>
                </c:pt>
                <c:pt idx="27">
                  <c:v>692.98139856133673</c:v>
                </c:pt>
                <c:pt idx="28">
                  <c:v>732.12737494745716</c:v>
                </c:pt>
                <c:pt idx="29">
                  <c:v>772.93555124476279</c:v>
                </c:pt>
                <c:pt idx="30">
                  <c:v>815.40592745325387</c:v>
                </c:pt>
                <c:pt idx="31">
                  <c:v>859.53850357293004</c:v>
                </c:pt>
                <c:pt idx="32">
                  <c:v>905.33327960379142</c:v>
                </c:pt>
                <c:pt idx="33">
                  <c:v>952.79025554583814</c:v>
                </c:pt>
                <c:pt idx="34">
                  <c:v>1001.9094313990701</c:v>
                </c:pt>
                <c:pt idx="35">
                  <c:v>1052.6908071634871</c:v>
                </c:pt>
                <c:pt idx="36">
                  <c:v>1105.1343828390895</c:v>
                </c:pt>
                <c:pt idx="37">
                  <c:v>1159.2401584258771</c:v>
                </c:pt>
                <c:pt idx="38">
                  <c:v>1215.00813392385</c:v>
                </c:pt>
                <c:pt idx="39">
                  <c:v>1272.438309333008</c:v>
                </c:pt>
                <c:pt idx="40">
                  <c:v>1331.5306846533513</c:v>
                </c:pt>
                <c:pt idx="41">
                  <c:v>1392.2852598848799</c:v>
                </c:pt>
                <c:pt idx="42">
                  <c:v>1454.7020350275939</c:v>
                </c:pt>
                <c:pt idx="43">
                  <c:v>1518.7810100814927</c:v>
                </c:pt>
                <c:pt idx="44">
                  <c:v>1584.5221850465771</c:v>
                </c:pt>
                <c:pt idx="45">
                  <c:v>1651.9255599228463</c:v>
                </c:pt>
                <c:pt idx="46">
                  <c:v>1720.9911347103011</c:v>
                </c:pt>
                <c:pt idx="47">
                  <c:v>1791.7189094089413</c:v>
                </c:pt>
                <c:pt idx="48">
                  <c:v>1864.1088840187665</c:v>
                </c:pt>
                <c:pt idx="49">
                  <c:v>1938.1610585397768</c:v>
                </c:pt>
                <c:pt idx="50">
                  <c:v>2013.8754329719723</c:v>
                </c:pt>
                <c:pt idx="51">
                  <c:v>2091.2520073153537</c:v>
                </c:pt>
                <c:pt idx="52">
                  <c:v>2170.2907815699195</c:v>
                </c:pt>
                <c:pt idx="53">
                  <c:v>2250.9917557356712</c:v>
                </c:pt>
                <c:pt idx="54">
                  <c:v>2333.3549298126072</c:v>
                </c:pt>
                <c:pt idx="55">
                  <c:v>2417.3803038007295</c:v>
                </c:pt>
                <c:pt idx="56">
                  <c:v>2503.0678777000367</c:v>
                </c:pt>
                <c:pt idx="57">
                  <c:v>2590.4176515105287</c:v>
                </c:pt>
                <c:pt idx="58">
                  <c:v>2679.4296252322065</c:v>
                </c:pt>
                <c:pt idx="59">
                  <c:v>2770.1037988650687</c:v>
                </c:pt>
                <c:pt idx="60">
                  <c:v>2862.4401724091172</c:v>
                </c:pt>
                <c:pt idx="61">
                  <c:v>2956.43874586435</c:v>
                </c:pt>
                <c:pt idx="62">
                  <c:v>3052.0995192307687</c:v>
                </c:pt>
              </c:numCache>
            </c:numRef>
          </c:val>
          <c:smooth val="0"/>
          <c:extLst>
            <c:ext xmlns:c16="http://schemas.microsoft.com/office/drawing/2014/chart" uri="{C3380CC4-5D6E-409C-BE32-E72D297353CC}">
              <c16:uniqueId val="{00000003-3C9B-4ABB-AB61-845FC5B1AD38}"/>
            </c:ext>
          </c:extLst>
        </c:ser>
        <c:dLbls>
          <c:showLegendKey val="0"/>
          <c:showVal val="0"/>
          <c:showCatName val="0"/>
          <c:showSerName val="0"/>
          <c:showPercent val="0"/>
          <c:showBubbleSize val="0"/>
        </c:dLbls>
        <c:marker val="1"/>
        <c:smooth val="0"/>
        <c:axId val="586620144"/>
        <c:axId val="586619160"/>
      </c:lineChart>
      <c:catAx>
        <c:axId val="58662014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619160"/>
        <c:crosses val="autoZero"/>
        <c:auto val="1"/>
        <c:lblAlgn val="ctr"/>
        <c:lblOffset val="100"/>
        <c:noMultiLvlLbl val="0"/>
      </c:catAx>
      <c:valAx>
        <c:axId val="586619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62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187324</xdr:colOff>
      <xdr:row>67</xdr:row>
      <xdr:rowOff>78467</xdr:rowOff>
    </xdr:from>
    <xdr:to>
      <xdr:col>20</xdr:col>
      <xdr:colOff>241299</xdr:colOff>
      <xdr:row>87</xdr:row>
      <xdr:rowOff>38100</xdr:rowOff>
    </xdr:to>
    <xdr:graphicFrame macro="">
      <xdr:nvGraphicFramePr>
        <xdr:cNvPr id="2" name="Chart 1">
          <a:extLst>
            <a:ext uri="{FF2B5EF4-FFF2-40B4-BE49-F238E27FC236}">
              <a16:creationId xmlns:a16="http://schemas.microsoft.com/office/drawing/2014/main" id="{0FBD0BF9-D36D-4A90-9C7C-38E20FF3B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560295</xdr:colOff>
      <xdr:row>0</xdr:row>
      <xdr:rowOff>132229</xdr:rowOff>
    </xdr:from>
    <xdr:to>
      <xdr:col>24</xdr:col>
      <xdr:colOff>495300</xdr:colOff>
      <xdr:row>19</xdr:row>
      <xdr:rowOff>76200</xdr:rowOff>
    </xdr:to>
    <xdr:graphicFrame macro="">
      <xdr:nvGraphicFramePr>
        <xdr:cNvPr id="5" name="Chart 4">
          <a:extLst>
            <a:ext uri="{FF2B5EF4-FFF2-40B4-BE49-F238E27FC236}">
              <a16:creationId xmlns:a16="http://schemas.microsoft.com/office/drawing/2014/main" id="{F7B95E10-65D7-46E2-9EB9-7FDD92AAE9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289560</xdr:colOff>
      <xdr:row>4</xdr:row>
      <xdr:rowOff>114300</xdr:rowOff>
    </xdr:from>
    <xdr:to>
      <xdr:col>24</xdr:col>
      <xdr:colOff>495300</xdr:colOff>
      <xdr:row>18</xdr:row>
      <xdr:rowOff>129540</xdr:rowOff>
    </xdr:to>
    <xdr:graphicFrame macro="">
      <xdr:nvGraphicFramePr>
        <xdr:cNvPr id="3" name="Chart 2">
          <a:extLst>
            <a:ext uri="{FF2B5EF4-FFF2-40B4-BE49-F238E27FC236}">
              <a16:creationId xmlns:a16="http://schemas.microsoft.com/office/drawing/2014/main" id="{F5231DA2-B9D0-4113-970E-60E92D292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232410</xdr:colOff>
      <xdr:row>6</xdr:row>
      <xdr:rowOff>46143</xdr:rowOff>
    </xdr:from>
    <xdr:to>
      <xdr:col>17</xdr:col>
      <xdr:colOff>411480</xdr:colOff>
      <xdr:row>15</xdr:row>
      <xdr:rowOff>15240</xdr:rowOff>
    </xdr:to>
    <xdr:graphicFrame macro="">
      <xdr:nvGraphicFramePr>
        <xdr:cNvPr id="2" name="Chart 1">
          <a:extLst>
            <a:ext uri="{FF2B5EF4-FFF2-40B4-BE49-F238E27FC236}">
              <a16:creationId xmlns:a16="http://schemas.microsoft.com/office/drawing/2014/main" id="{83449523-F506-45BB-8679-5AEBE1A6E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221797</xdr:colOff>
      <xdr:row>60</xdr:row>
      <xdr:rowOff>1360</xdr:rowOff>
    </xdr:from>
    <xdr:to>
      <xdr:col>19</xdr:col>
      <xdr:colOff>270783</xdr:colOff>
      <xdr:row>77</xdr:row>
      <xdr:rowOff>172130</xdr:rowOff>
    </xdr:to>
    <xdr:graphicFrame macro="">
      <xdr:nvGraphicFramePr>
        <xdr:cNvPr id="2" name="Chart 1">
          <a:extLst>
            <a:ext uri="{FF2B5EF4-FFF2-40B4-BE49-F238E27FC236}">
              <a16:creationId xmlns:a16="http://schemas.microsoft.com/office/drawing/2014/main" id="{4219751B-B685-4941-9356-7B849F95CA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195943</xdr:colOff>
      <xdr:row>80</xdr:row>
      <xdr:rowOff>1360</xdr:rowOff>
    </xdr:from>
    <xdr:to>
      <xdr:col>19</xdr:col>
      <xdr:colOff>254455</xdr:colOff>
      <xdr:row>96</xdr:row>
      <xdr:rowOff>95930</xdr:rowOff>
    </xdr:to>
    <xdr:graphicFrame macro="">
      <xdr:nvGraphicFramePr>
        <xdr:cNvPr id="3" name="Chart 2">
          <a:extLst>
            <a:ext uri="{FF2B5EF4-FFF2-40B4-BE49-F238E27FC236}">
              <a16:creationId xmlns:a16="http://schemas.microsoft.com/office/drawing/2014/main" id="{5658FD9C-EF60-48A9-B50C-5A89EDF3B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30480</xdr:colOff>
      <xdr:row>104</xdr:row>
      <xdr:rowOff>11430</xdr:rowOff>
    </xdr:from>
    <xdr:to>
      <xdr:col>25</xdr:col>
      <xdr:colOff>76200</xdr:colOff>
      <xdr:row>121</xdr:row>
      <xdr:rowOff>106680</xdr:rowOff>
    </xdr:to>
    <xdr:graphicFrame macro="">
      <xdr:nvGraphicFramePr>
        <xdr:cNvPr id="2" name="Chart 1">
          <a:extLst>
            <a:ext uri="{FF2B5EF4-FFF2-40B4-BE49-F238E27FC236}">
              <a16:creationId xmlns:a16="http://schemas.microsoft.com/office/drawing/2014/main" id="{54AA28FB-8A30-42CB-9047-351E2804B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304800</xdr:colOff>
      <xdr:row>9</xdr:row>
      <xdr:rowOff>14287</xdr:rowOff>
    </xdr:from>
    <xdr:to>
      <xdr:col>22</xdr:col>
      <xdr:colOff>0</xdr:colOff>
      <xdr:row>23</xdr:row>
      <xdr:rowOff>90487</xdr:rowOff>
    </xdr:to>
    <xdr:graphicFrame macro="">
      <xdr:nvGraphicFramePr>
        <xdr:cNvPr id="2" name="Chart 1">
          <a:extLst>
            <a:ext uri="{FF2B5EF4-FFF2-40B4-BE49-F238E27FC236}">
              <a16:creationId xmlns:a16="http://schemas.microsoft.com/office/drawing/2014/main" id="{8E0C6D72-4ABC-4819-BE9F-48B55E457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1251169</xdr:colOff>
      <xdr:row>66</xdr:row>
      <xdr:rowOff>48435</xdr:rowOff>
    </xdr:from>
    <xdr:to>
      <xdr:col>13</xdr:col>
      <xdr:colOff>139218</xdr:colOff>
      <xdr:row>79</xdr:row>
      <xdr:rowOff>133652</xdr:rowOff>
    </xdr:to>
    <xdr:graphicFrame macro="">
      <xdr:nvGraphicFramePr>
        <xdr:cNvPr id="2" name="Chart 1">
          <a:extLst>
            <a:ext uri="{FF2B5EF4-FFF2-40B4-BE49-F238E27FC236}">
              <a16:creationId xmlns:a16="http://schemas.microsoft.com/office/drawing/2014/main" id="{B8B04D7E-DF18-4FD7-BD98-1406A6111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1025311/Desktop/BITS-PILANI-MTECH/MTECH_Course/2nd_SEM/Intro_StatMath/Webinar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ear Regression"/>
      <sheetName val="Summary and Residual Output"/>
      <sheetName val="Multiregression"/>
      <sheetName val="Timeseries"/>
      <sheetName val="Holt's Method"/>
      <sheetName val="ANOVA"/>
    </sheetNames>
    <sheetDataSet>
      <sheetData sheetId="0" refreshError="1"/>
      <sheetData sheetId="1" refreshError="1"/>
      <sheetData sheetId="2" refreshError="1"/>
      <sheetData sheetId="3">
        <row r="1">
          <cell r="E1" t="str">
            <v>Sales</v>
          </cell>
          <cell r="F1" t="str">
            <v>Trend</v>
          </cell>
          <cell r="G1" t="str">
            <v>Trend Quadratic</v>
          </cell>
        </row>
        <row r="2">
          <cell r="E2">
            <v>218.1</v>
          </cell>
          <cell r="F2">
            <v>-259.51840277777808</v>
          </cell>
          <cell r="G2">
            <v>264.35160256410222</v>
          </cell>
        </row>
        <row r="3">
          <cell r="E3">
            <v>245.4</v>
          </cell>
          <cell r="F3">
            <v>-214.55472670250924</v>
          </cell>
          <cell r="G3">
            <v>258.61818134822136</v>
          </cell>
        </row>
        <row r="4">
          <cell r="E4">
            <v>265.5</v>
          </cell>
          <cell r="F4">
            <v>-169.59105062724043</v>
          </cell>
          <cell r="G4">
            <v>254.54696004352576</v>
          </cell>
        </row>
        <row r="5">
          <cell r="E5">
            <v>203.5</v>
          </cell>
          <cell r="F5">
            <v>-124.6273745519716</v>
          </cell>
          <cell r="G5">
            <v>252.13793865001537</v>
          </cell>
        </row>
        <row r="6">
          <cell r="E6">
            <v>235.1</v>
          </cell>
          <cell r="F6">
            <v>-79.663698476702763</v>
          </cell>
          <cell r="G6">
            <v>251.3911171676902</v>
          </cell>
        </row>
        <row r="7">
          <cell r="E7">
            <v>258</v>
          </cell>
          <cell r="F7">
            <v>-34.700022401433955</v>
          </cell>
          <cell r="G7">
            <v>252.30649559655032</v>
          </cell>
        </row>
        <row r="8">
          <cell r="E8">
            <v>308.39999999999998</v>
          </cell>
          <cell r="F8">
            <v>10.263653673834881</v>
          </cell>
          <cell r="G8">
            <v>254.88407393659563</v>
          </cell>
        </row>
        <row r="9">
          <cell r="E9">
            <v>211.8</v>
          </cell>
          <cell r="F9">
            <v>55.227329749103717</v>
          </cell>
          <cell r="G9">
            <v>259.12385218782617</v>
          </cell>
        </row>
        <row r="10">
          <cell r="E10">
            <v>247.7</v>
          </cell>
          <cell r="F10">
            <v>100.19100582437255</v>
          </cell>
          <cell r="G10">
            <v>265.02583035024196</v>
          </cell>
        </row>
        <row r="11">
          <cell r="E11">
            <v>275.8</v>
          </cell>
          <cell r="F11">
            <v>145.15468189964139</v>
          </cell>
          <cell r="G11">
            <v>272.59000842384296</v>
          </cell>
        </row>
        <row r="12">
          <cell r="E12">
            <v>295</v>
          </cell>
          <cell r="F12">
            <v>190.11835797491023</v>
          </cell>
          <cell r="G12">
            <v>281.81638640862923</v>
          </cell>
        </row>
        <row r="13">
          <cell r="E13">
            <v>270.10000000000002</v>
          </cell>
          <cell r="F13">
            <v>235.082034050179</v>
          </cell>
          <cell r="G13">
            <v>292.70496430460076</v>
          </cell>
        </row>
        <row r="14">
          <cell r="E14">
            <v>315.7</v>
          </cell>
          <cell r="F14">
            <v>280.04571012544784</v>
          </cell>
          <cell r="G14">
            <v>305.25574211175751</v>
          </cell>
        </row>
        <row r="15">
          <cell r="E15">
            <v>358.5</v>
          </cell>
          <cell r="F15">
            <v>325.00938620071668</v>
          </cell>
          <cell r="G15">
            <v>319.46871983009947</v>
          </cell>
        </row>
        <row r="16">
          <cell r="E16">
            <v>363</v>
          </cell>
          <cell r="F16">
            <v>369.97306227598551</v>
          </cell>
          <cell r="G16">
            <v>335.34389745962665</v>
          </cell>
        </row>
        <row r="17">
          <cell r="E17">
            <v>302.2</v>
          </cell>
          <cell r="F17">
            <v>414.93673835125435</v>
          </cell>
          <cell r="G17">
            <v>352.88127500033909</v>
          </cell>
        </row>
        <row r="18">
          <cell r="E18">
            <v>407.3</v>
          </cell>
          <cell r="F18">
            <v>459.90041442652318</v>
          </cell>
          <cell r="G18">
            <v>372.08085245223674</v>
          </cell>
        </row>
        <row r="19">
          <cell r="E19">
            <v>483.3</v>
          </cell>
          <cell r="F19">
            <v>504.86409050179202</v>
          </cell>
          <cell r="G19">
            <v>392.94262981531966</v>
          </cell>
        </row>
        <row r="20">
          <cell r="E20">
            <v>463.2</v>
          </cell>
          <cell r="F20">
            <v>549.82776657706086</v>
          </cell>
          <cell r="G20">
            <v>415.4666070895878</v>
          </cell>
        </row>
        <row r="21">
          <cell r="E21">
            <v>426.5</v>
          </cell>
          <cell r="F21">
            <v>594.79144265232969</v>
          </cell>
          <cell r="G21">
            <v>439.6527842750412</v>
          </cell>
        </row>
        <row r="22">
          <cell r="E22">
            <v>451.5</v>
          </cell>
          <cell r="F22">
            <v>639.75511872759853</v>
          </cell>
          <cell r="G22">
            <v>465.50116137167981</v>
          </cell>
        </row>
        <row r="23">
          <cell r="E23">
            <v>546.9</v>
          </cell>
          <cell r="F23">
            <v>684.71879480286736</v>
          </cell>
          <cell r="G23">
            <v>493.01173837950364</v>
          </cell>
        </row>
        <row r="24">
          <cell r="E24">
            <v>590.4</v>
          </cell>
          <cell r="F24">
            <v>729.6824708781362</v>
          </cell>
          <cell r="G24">
            <v>522.18451529851268</v>
          </cell>
        </row>
        <row r="25">
          <cell r="E25">
            <v>504.2</v>
          </cell>
          <cell r="F25">
            <v>774.64614695340492</v>
          </cell>
          <cell r="G25">
            <v>553.01949212870704</v>
          </cell>
        </row>
        <row r="26">
          <cell r="E26">
            <v>592.4</v>
          </cell>
          <cell r="F26">
            <v>819.60982302867387</v>
          </cell>
          <cell r="G26">
            <v>585.51666887008662</v>
          </cell>
        </row>
        <row r="27">
          <cell r="E27">
            <v>647.9</v>
          </cell>
          <cell r="F27">
            <v>864.57349910394259</v>
          </cell>
          <cell r="G27">
            <v>619.67604552265141</v>
          </cell>
        </row>
        <row r="28">
          <cell r="E28">
            <v>726.4</v>
          </cell>
          <cell r="F28">
            <v>909.53717517921154</v>
          </cell>
          <cell r="G28">
            <v>655.49762208640141</v>
          </cell>
        </row>
        <row r="29">
          <cell r="E29">
            <v>755.5</v>
          </cell>
          <cell r="F29">
            <v>954.50085125448027</v>
          </cell>
          <cell r="G29">
            <v>692.98139856133673</v>
          </cell>
        </row>
        <row r="30">
          <cell r="E30">
            <v>766.4</v>
          </cell>
          <cell r="F30">
            <v>999.46452732974922</v>
          </cell>
          <cell r="G30">
            <v>732.12737494745716</v>
          </cell>
        </row>
        <row r="31">
          <cell r="E31">
            <v>819.4</v>
          </cell>
          <cell r="F31">
            <v>1044.4282034050179</v>
          </cell>
          <cell r="G31">
            <v>772.93555124476279</v>
          </cell>
        </row>
        <row r="32">
          <cell r="E32">
            <v>630.1</v>
          </cell>
          <cell r="F32">
            <v>1089.3918794802869</v>
          </cell>
          <cell r="G32">
            <v>815.40592745325387</v>
          </cell>
        </row>
        <row r="33">
          <cell r="E33">
            <v>734.6</v>
          </cell>
          <cell r="F33">
            <v>1134.3555555555556</v>
          </cell>
          <cell r="G33">
            <v>859.53850357293004</v>
          </cell>
        </row>
        <row r="34">
          <cell r="E34">
            <v>774.5</v>
          </cell>
          <cell r="F34">
            <v>1179.3192316308243</v>
          </cell>
          <cell r="G34">
            <v>905.33327960379142</v>
          </cell>
        </row>
        <row r="35">
          <cell r="E35">
            <v>915.7</v>
          </cell>
          <cell r="F35">
            <v>1224.2829077060933</v>
          </cell>
          <cell r="G35">
            <v>952.79025554583814</v>
          </cell>
        </row>
        <row r="36">
          <cell r="E36">
            <v>1013.4</v>
          </cell>
          <cell r="F36">
            <v>1269.246583781362</v>
          </cell>
          <cell r="G36">
            <v>1001.9094313990701</v>
          </cell>
        </row>
        <row r="37">
          <cell r="E37">
            <v>1043.5999999999999</v>
          </cell>
          <cell r="F37">
            <v>1314.210259856631</v>
          </cell>
          <cell r="G37">
            <v>1052.6908071634871</v>
          </cell>
        </row>
        <row r="38">
          <cell r="E38">
            <v>1037.9000000000001</v>
          </cell>
          <cell r="F38">
            <v>1359.1739359318997</v>
          </cell>
          <cell r="G38">
            <v>1105.1343828390895</v>
          </cell>
        </row>
        <row r="39">
          <cell r="E39">
            <v>1167.5999999999999</v>
          </cell>
          <cell r="F39">
            <v>1404.1376120071686</v>
          </cell>
          <cell r="G39">
            <v>1159.2401584258771</v>
          </cell>
        </row>
        <row r="40">
          <cell r="E40">
            <v>1345.1</v>
          </cell>
          <cell r="F40">
            <v>1449.1012880824373</v>
          </cell>
          <cell r="G40">
            <v>1215.00813392385</v>
          </cell>
        </row>
        <row r="41">
          <cell r="E41">
            <v>1288.2</v>
          </cell>
          <cell r="F41">
            <v>1494.0649641577063</v>
          </cell>
          <cell r="G41">
            <v>1272.438309333008</v>
          </cell>
        </row>
        <row r="42">
          <cell r="E42">
            <v>1303.8</v>
          </cell>
          <cell r="F42">
            <v>1539.028640232975</v>
          </cell>
          <cell r="G42">
            <v>1331.5306846533513</v>
          </cell>
        </row>
        <row r="43">
          <cell r="E43">
            <v>1539.5</v>
          </cell>
          <cell r="F43">
            <v>1583.992316308244</v>
          </cell>
          <cell r="G43">
            <v>1392.2852598848799</v>
          </cell>
        </row>
        <row r="44">
          <cell r="E44">
            <v>1712.2</v>
          </cell>
          <cell r="F44">
            <v>1628.9559923835127</v>
          </cell>
          <cell r="G44">
            <v>1454.7020350275939</v>
          </cell>
        </row>
        <row r="45">
          <cell r="E45">
            <v>1492.4</v>
          </cell>
          <cell r="F45">
            <v>1673.9196684587816</v>
          </cell>
          <cell r="G45">
            <v>1518.7810100814927</v>
          </cell>
        </row>
        <row r="46">
          <cell r="E46">
            <v>1439</v>
          </cell>
          <cell r="F46">
            <v>1718.8833445340504</v>
          </cell>
          <cell r="G46">
            <v>1584.5221850465771</v>
          </cell>
        </row>
        <row r="47">
          <cell r="E47">
            <v>1511.6</v>
          </cell>
          <cell r="F47">
            <v>1763.8470206093193</v>
          </cell>
          <cell r="G47">
            <v>1651.9255599228463</v>
          </cell>
        </row>
        <row r="48">
          <cell r="E48">
            <v>1739.4</v>
          </cell>
          <cell r="F48">
            <v>1808.810696684588</v>
          </cell>
          <cell r="G48">
            <v>1720.9911347103011</v>
          </cell>
        </row>
        <row r="49">
          <cell r="E49">
            <v>1936.6</v>
          </cell>
          <cell r="F49">
            <v>1853.7743727598568</v>
          </cell>
          <cell r="G49">
            <v>1791.7189094089413</v>
          </cell>
        </row>
        <row r="50">
          <cell r="E50">
            <v>1655.1</v>
          </cell>
          <cell r="F50">
            <v>1898.7380488351255</v>
          </cell>
          <cell r="G50">
            <v>1864.1088840187665</v>
          </cell>
        </row>
        <row r="51">
          <cell r="E51">
            <v>1853.5</v>
          </cell>
          <cell r="F51">
            <v>1943.7017249103947</v>
          </cell>
          <cell r="G51">
            <v>1938.1610585397768</v>
          </cell>
        </row>
        <row r="52">
          <cell r="E52">
            <v>2079.1</v>
          </cell>
          <cell r="F52">
            <v>1988.6654009856634</v>
          </cell>
          <cell r="G52">
            <v>2013.8754329719723</v>
          </cell>
        </row>
        <row r="53">
          <cell r="E53">
            <v>2391.4</v>
          </cell>
          <cell r="F53">
            <v>2033.6290770609321</v>
          </cell>
          <cell r="G53">
            <v>2091.2520073153537</v>
          </cell>
        </row>
        <row r="54">
          <cell r="E54">
            <v>2026.5</v>
          </cell>
          <cell r="F54">
            <v>2078.5927531362008</v>
          </cell>
          <cell r="G54">
            <v>2170.2907815699195</v>
          </cell>
        </row>
        <row r="55">
          <cell r="E55">
            <v>1936.8</v>
          </cell>
          <cell r="F55">
            <v>2123.55642921147</v>
          </cell>
          <cell r="G55">
            <v>2250.9917557356712</v>
          </cell>
        </row>
        <row r="56">
          <cell r="E56">
            <v>2174.5</v>
          </cell>
          <cell r="F56">
            <v>2168.5201052867387</v>
          </cell>
          <cell r="G56">
            <v>2333.3549298126072</v>
          </cell>
        </row>
        <row r="57">
          <cell r="E57">
            <v>2727.3</v>
          </cell>
          <cell r="F57">
            <v>2213.4837813620074</v>
          </cell>
          <cell r="G57">
            <v>2417.3803038007295</v>
          </cell>
        </row>
        <row r="58">
          <cell r="E58">
            <v>2275.8000000000002</v>
          </cell>
          <cell r="F58">
            <v>2258.4474574372762</v>
          </cell>
          <cell r="G58">
            <v>2503.0678777000367</v>
          </cell>
        </row>
        <row r="59">
          <cell r="E59">
            <v>2353.6</v>
          </cell>
          <cell r="F59">
            <v>2303.4111335125453</v>
          </cell>
          <cell r="G59">
            <v>2590.4176515105287</v>
          </cell>
        </row>
        <row r="60">
          <cell r="E60">
            <v>2698.4</v>
          </cell>
          <cell r="F60">
            <v>2348.3748095878141</v>
          </cell>
          <cell r="G60">
            <v>2679.4296252322065</v>
          </cell>
        </row>
        <row r="61">
          <cell r="E61">
            <v>3301.7</v>
          </cell>
          <cell r="F61">
            <v>2393.3384856630828</v>
          </cell>
          <cell r="G61">
            <v>2770.1037988650687</v>
          </cell>
        </row>
        <row r="62">
          <cell r="E62">
            <v>2922.8</v>
          </cell>
          <cell r="F62">
            <v>2438.3021617383515</v>
          </cell>
          <cell r="G62">
            <v>2862.4401724091172</v>
          </cell>
        </row>
        <row r="63">
          <cell r="E63">
            <v>2764</v>
          </cell>
          <cell r="F63">
            <v>2483.2658378136207</v>
          </cell>
          <cell r="G63">
            <v>2956.43874586435</v>
          </cell>
        </row>
        <row r="64">
          <cell r="E64">
            <v>3123.6</v>
          </cell>
          <cell r="F64">
            <v>2528.2295138888894</v>
          </cell>
          <cell r="G64">
            <v>3052.0995192307687</v>
          </cell>
        </row>
      </sheetData>
      <sheetData sheetId="4">
        <row r="4">
          <cell r="C4">
            <v>500</v>
          </cell>
        </row>
        <row r="5">
          <cell r="C5">
            <v>350</v>
          </cell>
        </row>
        <row r="6">
          <cell r="C6">
            <v>250</v>
          </cell>
        </row>
        <row r="7">
          <cell r="C7">
            <v>400</v>
          </cell>
        </row>
        <row r="8">
          <cell r="C8">
            <v>450</v>
          </cell>
        </row>
        <row r="9">
          <cell r="C9">
            <v>350</v>
          </cell>
        </row>
        <row r="10">
          <cell r="C10">
            <v>200</v>
          </cell>
        </row>
        <row r="11">
          <cell r="C11">
            <v>300</v>
          </cell>
        </row>
        <row r="12">
          <cell r="C12">
            <v>350</v>
          </cell>
        </row>
        <row r="13">
          <cell r="C13">
            <v>200</v>
          </cell>
        </row>
        <row r="14">
          <cell r="C14">
            <v>150</v>
          </cell>
        </row>
        <row r="15">
          <cell r="C15">
            <v>400</v>
          </cell>
        </row>
        <row r="16">
          <cell r="C16">
            <v>550</v>
          </cell>
        </row>
        <row r="17">
          <cell r="C17">
            <v>350</v>
          </cell>
        </row>
        <row r="18">
          <cell r="C18">
            <v>250</v>
          </cell>
        </row>
        <row r="19">
          <cell r="C19">
            <v>550</v>
          </cell>
        </row>
        <row r="20">
          <cell r="C20">
            <v>550</v>
          </cell>
        </row>
        <row r="21">
          <cell r="C21">
            <v>400</v>
          </cell>
        </row>
        <row r="22">
          <cell r="C22">
            <v>350</v>
          </cell>
        </row>
        <row r="23">
          <cell r="C23">
            <v>600</v>
          </cell>
        </row>
        <row r="24">
          <cell r="C24">
            <v>750</v>
          </cell>
        </row>
        <row r="25">
          <cell r="C25">
            <v>500</v>
          </cell>
        </row>
        <row r="26">
          <cell r="C26">
            <v>400</v>
          </cell>
        </row>
        <row r="27">
          <cell r="C27">
            <v>650</v>
          </cell>
        </row>
      </sheetData>
      <sheetData sheetId="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757DD3-80C5-4562-A8F8-07E4764444CA}" name="Table5" displayName="Table5" ref="A1:I32" totalsRowShown="0" headerRowDxfId="72" dataDxfId="73" tableBorderDxfId="80">
  <autoFilter ref="A1:I32" xr:uid="{98A89F12-FA56-4E09-9041-0A2C5B515D47}"/>
  <tableColumns count="9">
    <tableColumn id="1" xr3:uid="{2D585E0B-D458-4C88-9C4D-405B6B12B810}" name="Observation" dataDxfId="79"/>
    <tableColumn id="2" xr3:uid="{503F209E-8EC0-4FDC-86B6-3C27E86C285E}" name="Force" dataDxfId="78"/>
    <tableColumn id="3" xr3:uid="{8345C089-955C-4D9F-90BA-93A3D711F7AC}" name="Power" dataDxfId="77"/>
    <tableColumn id="4" xr3:uid="{7DAC09AE-5EE1-4479-ABFE-2FC34B31D8A4}" name="Temperature" dataDxfId="76"/>
    <tableColumn id="5" xr3:uid="{8DBEAE3D-15FA-47B1-B7FC-BF8B002887A4}" name="Time" dataDxfId="75"/>
    <tableColumn id="6" xr3:uid="{898257CF-19DC-4340-B699-7988691E6AF5}" name="Strength" dataDxfId="74"/>
    <tableColumn id="7" xr3:uid="{0D6E036E-4BFF-4C51-81A6-F8E4845518D0}" name="Y-estm" dataDxfId="71">
      <calculatedColumnFormula>$P$4+$O$4*Table5[[#This Row],[Force]]+$N$4*Table5[[#This Row],[Power]]+$M$4*Table5[[#This Row],[Temperature]]+$L$4*Table5[[#This Row],[Time]]</calculatedColumnFormula>
    </tableColumn>
    <tableColumn id="8" xr3:uid="{65D892A0-7BC3-49D1-A8D6-941313DEB681}" name="y-diff" dataDxfId="70">
      <calculatedColumnFormula>Table5[[#This Row],[Strength]]-Table5[[#This Row],[Y-estm]]</calculatedColumnFormula>
    </tableColumn>
    <tableColumn id="9" xr3:uid="{1541EE8A-A990-49D6-BED2-0B02B68EB749}" name="y-diff/y" dataDxfId="69">
      <calculatedColumnFormula>Table5[[#This Row],[y-diff]]/Table5[[#This Row],[Strength]]</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5C7B448-FB80-4D6D-9751-9F2BD5488C41}" name="Table6" displayName="Table6" ref="A17:N27" totalsRowShown="0" tableBorderDxfId="56">
  <autoFilter ref="A17:N27" xr:uid="{52CC9D9B-8251-41D5-9E8B-0A6D1698F6FC}"/>
  <tableColumns count="14">
    <tableColumn id="1" xr3:uid="{88F990C6-B346-46B5-8EFB-AB03B9957A07}" name="Sl No" dataDxfId="55"/>
    <tableColumn id="2" xr3:uid="{C4F5AB01-6EEA-463D-9E40-B18697C1A039}" name="ACF" dataDxfId="54"/>
    <tableColumn id="3" xr3:uid="{2C481FC8-4CCA-4883-B1A7-3DEADFAE2AE0}" name="ACF Coeff" dataDxfId="53">
      <calculatedColumnFormula>SUMPRODUCT(H3:H13,G3:G13)/SUMPRODUCT(G2:G13,G2:G13)</calculatedColumnFormula>
    </tableColumn>
    <tableColumn id="4" xr3:uid="{2BA394C2-65BD-42C7-BC4C-DCAA3D981BA6}" name="ACF Coeff2" dataDxfId="52">
      <calculatedColumnFormula array="1">SUMPRODUCT(OFFSET($G$2:$G$13,Table6[[#This Row],[Sl No]],0,$B$15-1),OFFSET($G$2:$G$13,0,0,$B$15-1))/SUM($G$2:$G$13^2)</calculatedColumnFormula>
    </tableColumn>
    <tableColumn id="5" xr3:uid="{C8C23E59-8B68-4674-9986-E8738F01163B}" name="Sum Error" dataDxfId="51">
      <calculatedColumnFormula>SQRT(1/B15)</calculatedColumnFormula>
    </tableColumn>
    <tableColumn id="6" xr3:uid="{243C40DB-9AE6-428D-9D9B-FFB1A6151A8D}" name="LowerLimit" dataDxfId="50">
      <calculatedColumnFormula>Table6[[#This Row],[Sum Error]]*$P$6*-1</calculatedColumnFormula>
    </tableColumn>
    <tableColumn id="7" xr3:uid="{896794BA-2523-4FAC-B2EC-C1012294ACDE}" name="UpperLimit" dataDxfId="49">
      <calculatedColumnFormula>Table6[[#This Row],[Sum Error]]*$P$6*1</calculatedColumnFormula>
    </tableColumn>
    <tableColumn id="8" xr3:uid="{B2A011DB-4739-44BC-A904-6D8ED239F7D7}" name="Within Error" dataDxfId="48">
      <calculatedColumnFormula>IF(Table6[[#This Row],[Sum Error]]&gt;Table6[[#This Row],[LowerLimit]],IF(Table6[[#This Row],[Sum Error]]&lt;Table6[[#This Row],[UpperLimit]],"YES","NO"),"NO")</calculatedColumnFormula>
    </tableColumn>
    <tableColumn id="9" xr3:uid="{09F455F0-D6A6-48AE-A7F5-D71CBB4878C0}" name="T-statistic" dataDxfId="47">
      <calculatedColumnFormula>Table6[[#This Row],[ACF Coeff2]]/Table6[[#This Row],[Sum Error]]</calculatedColumnFormula>
    </tableColumn>
    <tableColumn id="10" xr3:uid="{36516791-0406-4646-97C7-2FCDBBC55DD6}" name="Reject H0" dataDxfId="46">
      <calculatedColumnFormula>IF(ABS(Table6[[#This Row],[T-statistic]])&gt;$P$6,"Reject","Fail to Reject")</calculatedColumnFormula>
    </tableColumn>
    <tableColumn id="11" xr3:uid="{1543C688-4F4B-4A4B-AB8A-406B21A48BBE}" name="Error2" dataDxfId="45">
      <calculatedColumnFormula>(Table6[[#This Row],[ACF Coeff2]]^2)/($B$15-Table6[[#This Row],[Sl No]])</calculatedColumnFormula>
    </tableColumn>
    <tableColumn id="12" xr3:uid="{B4880047-D36F-42A9-A125-085745199B7F}" name="Sum(prev)" dataDxfId="44">
      <calculatedColumnFormula>SUM($K$18:K18)</calculatedColumnFormula>
    </tableColumn>
    <tableColumn id="13" xr3:uid="{18F86885-2478-4D8B-B67E-768A4582B0A1}" name="Qstat" dataDxfId="43">
      <calculatedColumnFormula>Table6[[#This Row],[Sum(prev)]]*$B$15*($B$15+2)</calculatedColumnFormula>
    </tableColumn>
    <tableColumn id="14" xr3:uid="{4FAD9D19-A983-4582-8FD0-EBE7EA469E6B}" name="Chi-sqr comp" dataDxfId="42">
      <calculatedColumnFormula>_xlfn.CHISQ.INV(1-$P$4,Table6[[#This Row],[Sl No]])</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2D86FF-D327-4857-BA0C-364E037FC654}" name="Table7" displayName="Table7" ref="A1:K14" totalsRowShown="0" tableBorderDxfId="68">
  <autoFilter ref="A1:K14" xr:uid="{B830B755-87B8-4C72-8352-B9ACEAD75D60}"/>
  <tableColumns count="11">
    <tableColumn id="1" xr3:uid="{3A29A50E-E569-4630-A9D9-2CE8854675CF}" name="Time t" dataDxfId="67"/>
    <tableColumn id="2" xr3:uid="{533845CF-E9CD-4FFE-BC85-C5E4741BE636}" name="Month" dataDxfId="66"/>
    <tableColumn id="3" xr3:uid="{A5E98E13-F9D3-41F5-A6FF-A57CD6C78910}" name="Original Yt" dataDxfId="65"/>
    <tableColumn id="4" xr3:uid="{A110CB65-376A-423D-B19A-082A9F9A5D06}" name="Yt-1" dataDxfId="64">
      <calculatedColumnFormula>C1</calculatedColumnFormula>
    </tableColumn>
    <tableColumn id="5" xr3:uid="{F279CF1C-FCF8-403B-AC29-D4650409CFCA}" name="Yt-2" dataDxfId="63">
      <calculatedColumnFormula>D1</calculatedColumnFormula>
    </tableColumn>
    <tableColumn id="6" xr3:uid="{D980EACF-BB98-49F4-BCFB-4206311BEABC}" name="Yt-3" dataDxfId="62">
      <calculatedColumnFormula>E1</calculatedColumnFormula>
    </tableColumn>
    <tableColumn id="7" xr3:uid="{B991C801-223E-44AB-AA2C-40B603C9DDB5}" name="Yt-Y^" dataDxfId="61">
      <calculatedColumnFormula>Table7[[#This Row],[Original Yt]]-$C$14</calculatedColumnFormula>
    </tableColumn>
    <tableColumn id="8" xr3:uid="{404FCF6D-A1B0-4729-8724-151E756788F2}" name="Yt-1-Y^" dataDxfId="60">
      <calculatedColumnFormula>Table7[[#This Row],[Yt-1]]-$C$14</calculatedColumnFormula>
    </tableColumn>
    <tableColumn id="9" xr3:uid="{36C79AE9-F0A5-4BD4-AB3E-B98F2B0336FE}" name="Yt-2-Y^" dataDxfId="59">
      <calculatedColumnFormula>Table7[[#This Row],[Yt-2]]-$C$14</calculatedColumnFormula>
    </tableColumn>
    <tableColumn id="10" xr3:uid="{AA26A87E-5742-49AC-8984-1D341350056D}" name="Yt-3-Y^" dataDxfId="58">
      <calculatedColumnFormula>Table7[[#This Row],[Yt-3]]-$C$14</calculatedColumnFormula>
    </tableColumn>
    <tableColumn id="11" xr3:uid="{A710371B-043B-4E8A-B6BB-BA3BF0B29198}" name="Yt-Y^2" dataDxfId="57">
      <calculatedColumnFormula>Table7[[#This Row],[Yt-Y^]]*Table7[[#This Row],[Yt-Y^]]</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FDEA5-862F-4F0D-8EF9-DCC975B8EC2F}" name="Table2_22" displayName="Table2_22" ref="A1:P8" totalsRowShown="0" headerRowDxfId="150" dataDxfId="149">
  <tableColumns count="16">
    <tableColumn id="1" xr3:uid="{00000000-0010-0000-0000-000001000000}" name="Year" dataDxfId="148"/>
    <tableColumn id="2" xr3:uid="{00000000-0010-0000-0000-000002000000}" name="January" dataDxfId="147"/>
    <tableColumn id="3" xr3:uid="{00000000-0010-0000-0000-000003000000}" name="February" dataDxfId="146"/>
    <tableColumn id="4" xr3:uid="{00000000-0010-0000-0000-000004000000}" name="March" dataDxfId="145"/>
    <tableColumn id="16" xr3:uid="{E3E1D091-A085-46DA-96A0-A19D9490C9F7}" name="Column1" dataDxfId="144"/>
    <tableColumn id="15" xr3:uid="{FAA58062-91BA-4950-9C29-F1DFA9BD73B3}" name="Column2" dataDxfId="143"/>
    <tableColumn id="14" xr3:uid="{B9DCB6DF-E65C-4B3D-A814-AF274501BC23}" name="Column3" dataDxfId="142"/>
    <tableColumn id="5" xr3:uid="{00000000-0010-0000-0000-000005000000}" name="April" dataDxfId="141"/>
    <tableColumn id="6" xr3:uid="{00000000-0010-0000-0000-000006000000}" name="May" dataDxfId="140"/>
    <tableColumn id="7" xr3:uid="{00000000-0010-0000-0000-000007000000}" name="June" dataDxfId="139"/>
    <tableColumn id="8" xr3:uid="{00000000-0010-0000-0000-000008000000}" name="July" dataDxfId="138"/>
    <tableColumn id="9" xr3:uid="{00000000-0010-0000-0000-000009000000}" name="August" dataDxfId="137"/>
    <tableColumn id="10" xr3:uid="{00000000-0010-0000-0000-00000A000000}" name="September" dataDxfId="136"/>
    <tableColumn id="11" xr3:uid="{00000000-0010-0000-0000-00000B000000}" name="October" dataDxfId="135"/>
    <tableColumn id="12" xr3:uid="{00000000-0010-0000-0000-00000C000000}" name="November" dataDxfId="134"/>
    <tableColumn id="13" xr3:uid="{00000000-0010-0000-0000-00000D000000}" name="December" dataDxfId="13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005310-6EAC-4752-8284-1640706AB9BB}" name="Table43" displayName="Table43" ref="A14:I99" totalsRowCount="1" headerRowDxfId="132" dataDxfId="131">
  <tableColumns count="9">
    <tableColumn id="1" xr3:uid="{00000000-0010-0000-0100-000001000000}" name="Index" dataDxfId="130" totalsRowDxfId="129"/>
    <tableColumn id="2" xr3:uid="{00000000-0010-0000-0100-000002000000}" name="Year" dataDxfId="128" totalsRowDxfId="127"/>
    <tableColumn id="3" xr3:uid="{00000000-0010-0000-0100-000003000000}" name="Mon/Yr" dataDxfId="126" totalsRowDxfId="125"/>
    <tableColumn id="4" xr3:uid="{40983393-0EEC-452C-B5FE-23E6069924CC}" name="Sales" dataDxfId="124" totalsRowDxfId="123">
      <calculatedColumnFormula>P$15+($O$15*Table43[[#This Row],[Index]])</calculatedColumnFormula>
    </tableColumn>
    <tableColumn id="5" xr3:uid="{14DAB732-D9C7-4AEF-A0D4-D1D26EF67A73}" name="Trend Sales" dataDxfId="122" totalsRowDxfId="121">
      <calculatedColumnFormula>P$15+($O$15*Table43[[#This Row],[Index]])</calculatedColumnFormula>
    </tableColumn>
    <tableColumn id="6" xr3:uid="{39586935-F094-453E-96E6-B3F6AFE23E2E}" name="Seasonal Forecast with Trend" dataDxfId="120" totalsRowDxfId="119">
      <calculatedColumnFormula>VLOOKUP(Table43[[#This Row],[Mon/Yr]],sindex,2,FALSE)*Table43[[#This Row],[Trend Sales]]</calculatedColumnFormula>
    </tableColumn>
    <tableColumn id="7" xr3:uid="{9F6509B3-0664-4E1D-94D0-0F7D81C73922}" name="Abs Error" dataDxfId="118" totalsRowDxfId="117">
      <calculatedColumnFormula>ABS(Table43[[#This Row],[Sales]]-Table43[[#This Row],[Seasonal Forecast with Trend]])</calculatedColumnFormula>
    </tableColumn>
    <tableColumn id="8" xr3:uid="{303A8272-F302-4C8A-8201-6CFDA3D9CB1B}" name="Error2" dataDxfId="116" totalsRowDxfId="115">
      <calculatedColumnFormula>Table43[[#This Row],[Abs Error]]^2</calculatedColumnFormula>
    </tableColumn>
    <tableColumn id="9" xr3:uid="{40A2699A-6B38-48FB-99E7-A2502185D06B}" name="Actual-Forecasted/Actual" dataDxfId="114" totalsRowDxfId="113">
      <calculatedColumnFormula>ABS(Table43[[#This Row],[Sales]]-Table43[[#This Row],[Seasonal Forecast with Trend]])/Table43[[#This Row],[Sales]]</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0010E5-43A9-4186-86F0-C1ADBDEC99EF}" name="Table2_224" displayName="Table2_224" ref="A1:M11" totalsRowShown="0" headerRowDxfId="112" dataDxfId="110" headerRowBorderDxfId="111" tableBorderDxfId="109" totalsRowBorderDxfId="108">
  <tableColumns count="13">
    <tableColumn id="1" xr3:uid="{3B916B0A-E51C-4F9B-91DF-4482E0A17434}" name="Year" dataDxfId="107"/>
    <tableColumn id="2" xr3:uid="{439ECB6A-E82E-45B5-8AC1-1554277021FB}" name="January" dataDxfId="106"/>
    <tableColumn id="3" xr3:uid="{1DA8691E-6F89-4ECB-9E60-29DBC4461181}" name="February" dataDxfId="105"/>
    <tableColumn id="4" xr3:uid="{4A39418C-A92D-46F5-839B-AB9FEF617A67}" name="March" dataDxfId="104"/>
    <tableColumn id="5" xr3:uid="{6B1C4C25-132B-4194-B1DC-EADB9325EAFB}" name="April" dataDxfId="103"/>
    <tableColumn id="6" xr3:uid="{8786A50E-FB75-419C-AD88-0B8A625F94EF}" name="May" dataDxfId="102"/>
    <tableColumn id="7" xr3:uid="{8531C259-93E3-4830-99B5-7A4773060962}" name="June" dataDxfId="101"/>
    <tableColumn id="8" xr3:uid="{574B6BB8-7361-473A-9195-FE5F3B095C66}" name="July" dataDxfId="100"/>
    <tableColumn id="9" xr3:uid="{3B3356D1-084F-4950-B8AF-5497284A92DA}" name="August" dataDxfId="99"/>
    <tableColumn id="10" xr3:uid="{71B7274D-579C-45E1-9626-2F8F0A459AF7}" name="September" dataDxfId="98"/>
    <tableColumn id="11" xr3:uid="{B992E873-8BBF-4A05-AFF9-3D2C0016F0B0}" name="October" dataDxfId="97"/>
    <tableColumn id="12" xr3:uid="{212B16DE-B8FB-4519-97CA-C6E882F356F5}" name="November" dataDxfId="96"/>
    <tableColumn id="13" xr3:uid="{A4607B8C-015C-4FBD-A216-4CFBF0A28507}" name="December" dataDxfId="9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1FEE15-7F4E-4928-B8E8-534AAE0E5B6B}" name="Table9" displayName="Table9" ref="A1:M34" totalsRowCount="1">
  <autoFilter ref="A1:M33" xr:uid="{4DDC6B1E-ADF8-40B5-BA9A-05AF15F81897}"/>
  <tableColumns count="13">
    <tableColumn id="1" xr3:uid="{BE8DB6FB-B779-4745-BA7E-DE726CA493F4}" name="Time" dataDxfId="41" totalsRowDxfId="28"/>
    <tableColumn id="2" xr3:uid="{5D59A4A2-F72B-47A0-AF33-47AB0D8CB020}" name="Year" dataDxfId="40" totalsRowDxfId="27"/>
    <tableColumn id="3" xr3:uid="{E192EBB5-11E0-4E0A-A66E-C0306058C57C}" name="Quarter" dataDxfId="39" totalsRowDxfId="26"/>
    <tableColumn id="4" xr3:uid="{1269B7FF-5A16-4A88-9A90-723E86D773C5}" name="Sales" dataDxfId="38" totalsRowDxfId="25"/>
    <tableColumn id="5" xr3:uid="{50A77773-E8F3-4A65-9B58-B738E18013F4}" name="Trend" dataDxfId="37" totalsRowDxfId="24">
      <calculatedColumnFormula>$P$3+$O$3*Table9[[#This Row],[Time]]</calculatedColumnFormula>
    </tableColumn>
    <tableColumn id="6" xr3:uid="{2C34DDBB-9827-4A0E-B848-86866186A802}" name="SCI" dataDxfId="36" totalsRowDxfId="23">
      <calculatedColumnFormula>Table9[[#This Row],[Sales]]/Table9[[#This Row],[Trend]]</calculatedColumnFormula>
    </tableColumn>
    <tableColumn id="7" xr3:uid="{4DE2F392-C3E1-472F-81AE-57F9C868C023}" name="Seasonality" dataDxfId="35" totalsRowDxfId="22">
      <calculatedColumnFormula>MEDIAN($F$2,$F$6,$F$10,$F$14,$F$18,$F$22,$F$26)</calculatedColumnFormula>
    </tableColumn>
    <tableColumn id="8" xr3:uid="{2EC7523D-80E5-4D39-9A7B-CB518798B59B}" name="SeasonalityCorr" dataDxfId="34" totalsRowDxfId="21">
      <calculatedColumnFormula>Table9[[#This Row],[Seasonality]]*4/SUM($G$2:$G$5)</calculatedColumnFormula>
    </tableColumn>
    <tableColumn id="9" xr3:uid="{A11F94BD-4A46-477E-A816-246F692FDAB6}" name="CI" dataDxfId="33" totalsRowDxfId="20">
      <calculatedColumnFormula>Table9[[#This Row],[Sales]]/(Table9[[#This Row],[Trend]]*Table9[[#This Row],[SeasonalityCorr]])</calculatedColumnFormula>
    </tableColumn>
    <tableColumn id="10" xr3:uid="{0F637A86-A291-47A4-A0B3-1495A6D264B9}" name="C" dataDxfId="32" totalsRowDxfId="19">
      <calculatedColumnFormula>AVERAGE(I1:I3)</calculatedColumnFormula>
    </tableColumn>
    <tableColumn id="11" xr3:uid="{9FFE50DE-471E-4246-A285-DF8390DB3781}" name="I" dataDxfId="31" totalsRowDxfId="18">
      <calculatedColumnFormula>Table9[[#This Row],[CI]]/Table9[[#This Row],[C]]</calculatedColumnFormula>
    </tableColumn>
    <tableColumn id="12" xr3:uid="{6D4A00E1-D352-4069-9361-4F08B816A2CD}" name="MultForecast" dataDxfId="30" totalsRowDxfId="17">
      <calculatedColumnFormula>Table9[[#This Row],[Trend]]*Table9[[#This Row],[SeasonalityCorr]]*1*1</calculatedColumnFormula>
    </tableColumn>
    <tableColumn id="13" xr3:uid="{8513A055-1B7A-4D49-B7B0-2182F1A1B696}" name="Error" totalsRowFunction="custom" dataDxfId="29" totalsRowDxfId="16">
      <calculatedColumnFormula>Table9[[#This Row],[Sales]]-Table9[[#This Row],[MultForecast]]</calculatedColumnFormula>
      <totalsRowFormula>SUMPRODUCT(M2:M29,M2:M29)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BBDEE-E0B4-42B3-9DB5-6F0B5EABE2D6}" name="Table4" displayName="Table4" ref="A1:L66" totalsRowShown="0" dataDxfId="81" tableBorderDxfId="94">
  <autoFilter ref="A1:L66" xr:uid="{D0F04E6C-53F9-4A2B-A65F-995B717E3647}"/>
  <tableColumns count="12">
    <tableColumn id="1" xr3:uid="{9F41B387-FB3E-491D-9663-895AB9BA55E2}" name="Time" dataDxfId="93"/>
    <tableColumn id="2" xr3:uid="{9817B48B-EA6F-4540-B81F-FC5F2511916F}" name="y" dataDxfId="92"/>
    <tableColumn id="3" xr3:uid="{DF74F672-C25F-4B54-AA41-ADBA4B51F019}" name="Diff" dataDxfId="91">
      <calculatedColumnFormula>B2-B1</calculatedColumnFormula>
    </tableColumn>
    <tableColumn id="4" xr3:uid="{322891E4-8506-4FF8-B412-A0D0F8E30805}" name="Diff Lag1" dataDxfId="90">
      <calculatedColumnFormula>C1</calculatedColumnFormula>
    </tableColumn>
    <tableColumn id="5" xr3:uid="{00543D79-CCA2-4EC4-8A8C-429CB5CAD21A}" name="Diff Lag2" dataDxfId="89">
      <calculatedColumnFormula>D1</calculatedColumnFormula>
    </tableColumn>
    <tableColumn id="6" xr3:uid="{2E0FA1D1-FE29-4A91-BC08-F92A414ECE89}" name="Diff Lag3" dataDxfId="88">
      <calculatedColumnFormula>E1</calculatedColumnFormula>
    </tableColumn>
    <tableColumn id="7" xr3:uid="{F298D2C7-43F7-4489-B1A0-AB106FF1DB18}" name="Diff Lag4" dataDxfId="87">
      <calculatedColumnFormula>F1</calculatedColumnFormula>
    </tableColumn>
    <tableColumn id="8" xr3:uid="{DE3F03A9-456F-4228-8E10-809736D35F78}" name="Diff Lag5" dataDxfId="86">
      <calculatedColumnFormula>G1</calculatedColumnFormula>
    </tableColumn>
    <tableColumn id="9" xr3:uid="{A6079873-D0EA-4D53-B501-B911B4F1EEDF}" name="Diff Lag6" dataDxfId="85">
      <calculatedColumnFormula>H1</calculatedColumnFormula>
    </tableColumn>
    <tableColumn id="10" xr3:uid="{D4BEFD65-9066-48D7-AB17-F570DCF6FA3A}" name="AR Forecast" dataDxfId="84">
      <calculatedColumnFormula>B1+$O$8+$N$8*C1</calculatedColumnFormula>
    </tableColumn>
    <tableColumn id="11" xr3:uid="{1795E1DD-6159-42AC-B15D-96A9FC0274C6}" name="Res Err" dataDxfId="83">
      <calculatedColumnFormula>C2-$O$11+K1*$O$10</calculatedColumnFormula>
    </tableColumn>
    <tableColumn id="12" xr3:uid="{3376D603-D66B-4CDE-9A28-7B0B80A6B980}" name="MA Forecast" dataDxfId="82">
      <calculatedColumnFormula>B1+$O$11-K1*$O$10</calculatedColumnFormula>
    </tableColumn>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55A169-7E0C-4FD8-A9C0-9DBE2CE39B23}" name="Table411" displayName="Table411" ref="A2:I3" insertRow="1" insertRowShift="1" totalsRowShown="0">
  <autoFilter ref="A2:I3" xr:uid="{3E442CC8-0E0F-4382-9AAB-296047BBE803}"/>
  <tableColumns count="9">
    <tableColumn id="1" xr3:uid="{4CDF978D-023B-4B35-8BBB-423F62559528}" name="Year"/>
    <tableColumn id="2" xr3:uid="{1C1511D8-AC65-49F7-8E4B-F8107C1CC114}" name="t"/>
    <tableColumn id="3" xr3:uid="{00407577-3BB8-48C7-84EF-221ED5D82699}" name="Yt"/>
    <tableColumn id="4" xr3:uid="{5E8CDF0E-A085-4D4B-A829-F05F6E1DA398}" name="Lt"/>
    <tableColumn id="5" xr3:uid="{AB31E5C3-66C7-4CAF-9467-62FEF69B1888}" name="Tt"/>
    <tableColumn id="6" xr3:uid="{8B5A519D-EE31-46E9-95E9-0A6941887C62}" name="Y^t+p"/>
    <tableColumn id="7" xr3:uid="{C5C3AB55-3B0F-42AD-BCEB-D060B71671A9}" name="et"/>
    <tableColumn id="8" xr3:uid="{EC33A2F4-3133-4EAF-B30E-5F3D75B85414}" name="et^2"/>
    <tableColumn id="9" xr3:uid="{A50123D4-CBF2-49F2-8AB4-566036BCD38B}" name="ABSOLUTE PERCENT ERRO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5BE05D-4807-4E1E-8F7D-F7383A4CA180}" name="Table3" displayName="Table3" ref="A1:O65" totalsRowShown="0" dataDxfId="15">
  <autoFilter ref="A1:O65" xr:uid="{412161EC-CE91-4101-93C1-E52ADC2BAFC1}"/>
  <tableColumns count="15">
    <tableColumn id="1" xr3:uid="{6B49DAAC-BC49-407A-A6D0-F7776C295E7C}" name="Time " dataDxfId="14"/>
    <tableColumn id="14" xr3:uid="{1C6C5FA3-5B11-495A-9660-8DB6099C927C}" name="Time^2" dataDxfId="13">
      <calculatedColumnFormula>Table3[[#This Row],[Time ]]^2</calculatedColumnFormula>
    </tableColumn>
    <tableColumn id="2" xr3:uid="{D2B18B1C-6BB1-477B-8B6C-D9D03C41F313}" name="Year" dataDxfId="12"/>
    <tableColumn id="3" xr3:uid="{B900596B-641A-4D42-BF05-856E247A2E6B}" name="Quarter" dataDxfId="11"/>
    <tableColumn id="4" xr3:uid="{54F8D689-1C55-4557-A107-E66B3F124E28}" name="Sales" dataDxfId="10"/>
    <tableColumn id="5" xr3:uid="{1A4C8D81-E1A4-494D-8E92-FDAA82927574}" name="Trend" dataDxfId="9">
      <calculatedColumnFormula>$C$67+$B$67*Table3[[#This Row],[Time ]]</calculatedColumnFormula>
    </tableColumn>
    <tableColumn id="15" xr3:uid="{94AD8D31-5F3C-4DD1-BCCC-D7C330CC93B8}" name="Trend Quadratic" dataDxfId="8">
      <calculatedColumnFormula>$D$68+$C$68*Table3[ [#This Row],[Time ] ]+$B$68*Table3[[#This Row],[Time^2]]</calculatedColumnFormula>
    </tableColumn>
    <tableColumn id="6" xr3:uid="{667281F6-3CD1-4CC0-AFCC-21AEE5EB30F6}" name="SCI" dataDxfId="7">
      <calculatedColumnFormula>Table3[[#This Row],[Sales]]/Table3[[#This Row],[Trend]]</calculatedColumnFormula>
    </tableColumn>
    <tableColumn id="7" xr3:uid="{BDD5489B-953B-4E97-8ACB-6718E387B63D}" name="Seasonality" dataDxfId="6"/>
    <tableColumn id="8" xr3:uid="{34644726-5F42-4671-836D-45D8267FC11A}" name="Seasonality correction " dataDxfId="5">
      <calculatedColumnFormula>Table3[[#This Row],[Seasonality]]*4/SUM($I$2:$I$5)</calculatedColumnFormula>
    </tableColumn>
    <tableColumn id="9" xr3:uid="{D8C0CC77-4888-418C-B678-DCC287743B0B}" name="CI" dataDxfId="4">
      <calculatedColumnFormula>Table3[[#This Row],[Sales]]/(Table3[[#This Row],[Trend]]* Table3[[#This Row],[Seasonality correction ]])</calculatedColumnFormula>
    </tableColumn>
    <tableColumn id="10" xr3:uid="{1A6BE9FC-609D-4BE5-A08C-B39DABF53266}" name="C" dataDxfId="3">
      <calculatedColumnFormula>AVERAGE(K1:K3)</calculatedColumnFormula>
    </tableColumn>
    <tableColumn id="11" xr3:uid="{92E2BA6B-7125-4EFC-9234-275B934F0446}" name="I" dataDxfId="2">
      <calculatedColumnFormula>Table3[[#This Row],[CI]]/Table3[[#This Row],[C]]</calculatedColumnFormula>
    </tableColumn>
    <tableColumn id="12" xr3:uid="{F50B24C1-AFD9-4352-997F-AD2C2012B379}" name="Multidecomp fit" dataDxfId="1">
      <calculatedColumnFormula>Table3[[#This Row],[Trend]]*Table3[[#This Row],[Seasonality correction ]] *1*1</calculatedColumnFormula>
    </tableColumn>
    <tableColumn id="13" xr3:uid="{AB093428-934A-4016-B06D-E63163C88AAD}" name="Error" dataDxfId="0">
      <calculatedColumnFormula>Table3[[#This Row],[Sales]]-Table3[[#This Row],[Multidecomp 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17"/>
  <sheetViews>
    <sheetView showGridLines="0" topLeftCell="D40" zoomScale="90" zoomScaleNormal="90" workbookViewId="0">
      <selection activeCell="T48" sqref="T48"/>
    </sheetView>
  </sheetViews>
  <sheetFormatPr defaultColWidth="9.109375" defaultRowHeight="14.4" x14ac:dyDescent="0.3"/>
  <cols>
    <col min="1" max="1" width="9.109375" style="3"/>
    <col min="2" max="2" width="19.33203125" style="3" bestFit="1" customWidth="1"/>
    <col min="3" max="3" width="16.44140625" style="3" customWidth="1"/>
    <col min="4" max="4" width="9.109375" style="3"/>
    <col min="5" max="6" width="13.44140625" style="3" bestFit="1" customWidth="1"/>
    <col min="7" max="7" width="14.33203125" style="3" bestFit="1" customWidth="1"/>
    <col min="8" max="11" width="9.109375" style="3"/>
    <col min="12" max="12" width="11.77734375" style="3" customWidth="1"/>
    <col min="13" max="13" width="11.33203125" style="3" customWidth="1"/>
    <col min="14" max="14" width="15.33203125" style="3" customWidth="1"/>
    <col min="15" max="15" width="12.5546875" style="3" customWidth="1"/>
    <col min="16" max="16" width="8.77734375" style="3" customWidth="1"/>
    <col min="17" max="17" width="14.77734375" style="3" customWidth="1"/>
    <col min="18" max="18" width="14.44140625" style="3" customWidth="1"/>
    <col min="19" max="19" width="19.6640625" style="3" customWidth="1"/>
    <col min="20" max="20" width="12.33203125" style="3" customWidth="1"/>
    <col min="21" max="21" width="18" style="3" bestFit="1" customWidth="1"/>
    <col min="22" max="39" width="9.109375" style="3"/>
    <col min="40" max="40" width="18" style="3" bestFit="1" customWidth="1"/>
    <col min="41" max="16384" width="9.109375" style="3"/>
  </cols>
  <sheetData>
    <row r="1" spans="2:27" ht="15" thickBot="1" x14ac:dyDescent="0.35">
      <c r="Q1" s="12"/>
      <c r="R1" s="12"/>
      <c r="S1" s="12"/>
      <c r="T1" s="12"/>
      <c r="U1" s="12"/>
      <c r="V1" s="12"/>
      <c r="W1" s="12"/>
      <c r="X1" s="12"/>
      <c r="Y1" s="12"/>
      <c r="Z1" s="12"/>
      <c r="AA1" s="12"/>
    </row>
    <row r="2" spans="2:27" ht="15" customHeight="1" x14ac:dyDescent="0.3">
      <c r="B2" s="232" t="s">
        <v>1</v>
      </c>
      <c r="C2" s="233"/>
      <c r="D2" s="233"/>
      <c r="E2" s="233"/>
      <c r="F2" s="233"/>
      <c r="G2" s="233"/>
      <c r="H2" s="233"/>
      <c r="I2" s="233"/>
      <c r="J2" s="233"/>
      <c r="K2" s="234"/>
      <c r="M2" s="244" t="s">
        <v>6</v>
      </c>
      <c r="N2" s="245"/>
      <c r="O2" s="246"/>
      <c r="Q2" s="12"/>
      <c r="R2" s="250"/>
      <c r="S2" s="250"/>
      <c r="T2" s="250"/>
      <c r="U2" s="250"/>
      <c r="V2" s="250"/>
      <c r="W2" s="12"/>
      <c r="X2" s="12"/>
      <c r="Y2" s="12"/>
      <c r="Z2" s="12"/>
      <c r="AA2" s="12"/>
    </row>
    <row r="3" spans="2:27" ht="15" thickBot="1" x14ac:dyDescent="0.35">
      <c r="B3" s="235"/>
      <c r="C3" s="236"/>
      <c r="D3" s="236"/>
      <c r="E3" s="236"/>
      <c r="F3" s="236"/>
      <c r="G3" s="236"/>
      <c r="H3" s="236"/>
      <c r="I3" s="236"/>
      <c r="J3" s="236"/>
      <c r="K3" s="237"/>
      <c r="M3" s="247"/>
      <c r="N3" s="248"/>
      <c r="O3" s="249"/>
      <c r="Q3" s="12"/>
      <c r="R3" s="13"/>
      <c r="S3" s="13"/>
      <c r="T3" s="13"/>
      <c r="U3" s="251"/>
      <c r="V3" s="251"/>
      <c r="W3" s="12"/>
      <c r="X3" s="12"/>
      <c r="Y3" s="12"/>
      <c r="Z3" s="12"/>
      <c r="AA3" s="12"/>
    </row>
    <row r="4" spans="2:27" ht="15" customHeight="1" x14ac:dyDescent="0.3">
      <c r="B4" s="241" t="s">
        <v>11</v>
      </c>
      <c r="C4" s="242"/>
      <c r="D4" s="242"/>
      <c r="E4" s="242"/>
      <c r="F4" s="242"/>
      <c r="G4" s="242"/>
      <c r="H4" s="242"/>
      <c r="I4" s="242"/>
      <c r="J4" s="242"/>
      <c r="K4" s="243"/>
      <c r="M4" s="253" t="s">
        <v>7</v>
      </c>
      <c r="N4" s="254"/>
      <c r="O4" s="23">
        <v>4.9872785493864171</v>
      </c>
      <c r="Q4" s="12"/>
      <c r="R4" s="13"/>
      <c r="S4" s="13"/>
      <c r="T4" s="13"/>
      <c r="U4" s="251"/>
      <c r="V4" s="251"/>
      <c r="W4" s="12"/>
      <c r="X4" s="12"/>
      <c r="Y4" s="12"/>
      <c r="Z4" s="12"/>
      <c r="AA4" s="12"/>
    </row>
    <row r="5" spans="2:27" ht="15" customHeight="1" x14ac:dyDescent="0.3">
      <c r="B5" s="241"/>
      <c r="C5" s="242"/>
      <c r="D5" s="242"/>
      <c r="E5" s="242"/>
      <c r="F5" s="242"/>
      <c r="G5" s="242"/>
      <c r="H5" s="242"/>
      <c r="I5" s="242"/>
      <c r="J5" s="242"/>
      <c r="K5" s="243"/>
      <c r="M5" s="255" t="s">
        <v>8</v>
      </c>
      <c r="N5" s="256"/>
      <c r="O5" s="10">
        <v>4.6126885085479863</v>
      </c>
      <c r="Q5" s="12"/>
      <c r="R5" s="13"/>
      <c r="S5" s="13"/>
      <c r="T5" s="13"/>
      <c r="U5" s="14"/>
      <c r="V5" s="14"/>
      <c r="W5" s="12"/>
      <c r="X5" s="12"/>
      <c r="Y5" s="12"/>
      <c r="Z5" s="12"/>
      <c r="AA5" s="12"/>
    </row>
    <row r="6" spans="2:27" ht="15" customHeight="1" x14ac:dyDescent="0.3">
      <c r="B6" s="257" t="str">
        <f>CONCATENATE("b. Estimate the days that one should spend at diet regime if he or she aims at 17 kg of weight loss.")</f>
        <v>b. Estimate the days that one should spend at diet regime if he or she aims at 17 kg of weight loss.</v>
      </c>
      <c r="C6" s="258"/>
      <c r="D6" s="258"/>
      <c r="E6" s="258"/>
      <c r="F6" s="258"/>
      <c r="G6" s="258"/>
      <c r="H6" s="258"/>
      <c r="I6" s="258"/>
      <c r="J6" s="258"/>
      <c r="K6" s="259"/>
      <c r="M6" s="255" t="s">
        <v>12</v>
      </c>
      <c r="N6" s="256"/>
      <c r="O6" s="10">
        <v>83.402983194702188</v>
      </c>
      <c r="Q6" s="12"/>
      <c r="R6" s="252"/>
      <c r="S6" s="15"/>
      <c r="T6" s="15"/>
      <c r="U6" s="13"/>
      <c r="V6" s="14"/>
      <c r="W6" s="12"/>
      <c r="X6" s="12"/>
      <c r="Y6" s="12"/>
      <c r="Z6" s="12"/>
      <c r="AA6" s="12"/>
    </row>
    <row r="7" spans="2:27" ht="15.75" customHeight="1" x14ac:dyDescent="0.3">
      <c r="B7" s="241" t="str">
        <f>CONCATENATE("c. If the last entry is incorrectly entered as ",B45," , ",C45," instead of ", B45+1," , ",C45+1," then find out the line of best fit b0+b1x")</f>
        <v>c. If the last entry is incorrectly entered as 3.1 , 27 instead of 4.1 , 28 then find out the line of best fit b0+b1x</v>
      </c>
      <c r="C7" s="242"/>
      <c r="D7" s="242"/>
      <c r="E7" s="242"/>
      <c r="F7" s="242"/>
      <c r="G7" s="242"/>
      <c r="H7" s="242"/>
      <c r="I7" s="242"/>
      <c r="J7" s="242"/>
      <c r="K7" s="243"/>
      <c r="M7" s="255" t="s">
        <v>7</v>
      </c>
      <c r="N7" s="256"/>
      <c r="O7" s="10">
        <v>4.2529099896356497</v>
      </c>
      <c r="Q7" s="12"/>
      <c r="R7" s="252"/>
      <c r="S7" s="15"/>
      <c r="T7" s="15"/>
      <c r="U7" s="13"/>
      <c r="V7" s="14"/>
      <c r="W7" s="12"/>
      <c r="X7" s="12"/>
      <c r="Y7" s="12"/>
      <c r="Z7" s="12"/>
      <c r="AA7" s="12"/>
    </row>
    <row r="8" spans="2:27" ht="15.75" customHeight="1" x14ac:dyDescent="0.3">
      <c r="B8" s="238" t="s">
        <v>39</v>
      </c>
      <c r="C8" s="239"/>
      <c r="D8" s="239"/>
      <c r="E8" s="239"/>
      <c r="F8" s="239"/>
      <c r="G8" s="239"/>
      <c r="H8" s="239"/>
      <c r="I8" s="239"/>
      <c r="J8" s="239"/>
      <c r="K8" s="240"/>
      <c r="M8" s="255" t="s">
        <v>8</v>
      </c>
      <c r="N8" s="256"/>
      <c r="O8" s="10">
        <v>4.6821932552021055</v>
      </c>
      <c r="Q8" s="12"/>
      <c r="R8" s="252"/>
      <c r="S8" s="15"/>
      <c r="T8" s="15"/>
      <c r="U8" s="251"/>
      <c r="V8" s="251"/>
      <c r="W8" s="12"/>
      <c r="X8" s="12"/>
      <c r="Y8" s="12"/>
      <c r="Z8" s="12"/>
      <c r="AA8" s="12"/>
    </row>
    <row r="9" spans="2:27" ht="15" customHeight="1" x14ac:dyDescent="0.3">
      <c r="B9" s="257" t="s">
        <v>5</v>
      </c>
      <c r="C9" s="258"/>
      <c r="D9" s="258"/>
      <c r="E9" s="258"/>
      <c r="F9" s="258"/>
      <c r="G9" s="258"/>
      <c r="H9" s="258"/>
      <c r="I9" s="258"/>
      <c r="J9" s="258"/>
      <c r="K9" s="259"/>
      <c r="M9" s="255" t="s">
        <v>13</v>
      </c>
      <c r="N9" s="256"/>
      <c r="O9" s="10">
        <v>0.91228351632554594</v>
      </c>
      <c r="Q9" s="12"/>
      <c r="R9" s="252"/>
      <c r="S9" s="15"/>
      <c r="T9" s="15"/>
      <c r="U9" s="251"/>
      <c r="V9" s="251"/>
      <c r="W9" s="12"/>
      <c r="X9" s="12"/>
      <c r="Y9" s="12"/>
      <c r="Z9" s="12"/>
      <c r="AA9" s="12"/>
    </row>
    <row r="10" spans="2:27" x14ac:dyDescent="0.3">
      <c r="B10" s="257" t="s">
        <v>3</v>
      </c>
      <c r="C10" s="258"/>
      <c r="D10" s="258"/>
      <c r="E10" s="258"/>
      <c r="F10" s="258"/>
      <c r="G10" s="258"/>
      <c r="H10" s="258"/>
      <c r="I10" s="258"/>
      <c r="J10" s="258"/>
      <c r="K10" s="259"/>
      <c r="M10" s="255" t="s">
        <v>14</v>
      </c>
      <c r="N10" s="256"/>
      <c r="O10" s="10">
        <f>SQRT(M58)</f>
        <v>5.6610731249043562</v>
      </c>
      <c r="Q10" s="12"/>
      <c r="R10" s="252"/>
      <c r="S10" s="15"/>
      <c r="T10" s="15"/>
      <c r="U10" s="13"/>
      <c r="V10" s="14"/>
      <c r="W10" s="12"/>
      <c r="X10" s="12"/>
      <c r="Y10" s="12"/>
      <c r="Z10" s="12"/>
      <c r="AA10" s="12"/>
    </row>
    <row r="11" spans="2:27" ht="15" customHeight="1" x14ac:dyDescent="0.3">
      <c r="B11" s="260" t="s">
        <v>41</v>
      </c>
      <c r="C11" s="261"/>
      <c r="D11" s="261"/>
      <c r="E11" s="261"/>
      <c r="F11" s="261"/>
      <c r="G11" s="261"/>
      <c r="H11" s="261"/>
      <c r="I11" s="261"/>
      <c r="J11" s="261"/>
      <c r="K11" s="262"/>
      <c r="M11" s="255" t="s">
        <v>18</v>
      </c>
      <c r="N11" s="256"/>
      <c r="O11" s="10">
        <v>3.905779598758484</v>
      </c>
      <c r="Q11" s="12"/>
      <c r="R11" s="252"/>
      <c r="S11" s="15"/>
      <c r="T11" s="15"/>
      <c r="U11" s="13"/>
      <c r="V11" s="14"/>
      <c r="W11" s="12"/>
      <c r="X11" s="12"/>
      <c r="Y11" s="12"/>
      <c r="Z11" s="12"/>
      <c r="AA11" s="12"/>
    </row>
    <row r="12" spans="2:27" x14ac:dyDescent="0.3">
      <c r="B12" s="257"/>
      <c r="C12" s="258"/>
      <c r="D12" s="258"/>
      <c r="E12" s="258"/>
      <c r="F12" s="258"/>
      <c r="G12" s="258"/>
      <c r="H12" s="258"/>
      <c r="I12" s="258"/>
      <c r="J12" s="258"/>
      <c r="K12" s="259"/>
      <c r="M12" s="255" t="s">
        <v>19</v>
      </c>
      <c r="N12" s="256"/>
      <c r="O12" s="10">
        <v>5.4586069116457265</v>
      </c>
      <c r="Q12" s="12"/>
      <c r="R12" s="13"/>
      <c r="S12" s="13"/>
      <c r="T12" s="13"/>
      <c r="U12" s="251"/>
      <c r="V12" s="251"/>
      <c r="W12" s="12"/>
      <c r="X12" s="12"/>
      <c r="Y12" s="12"/>
      <c r="Z12" s="12"/>
      <c r="AA12" s="12"/>
    </row>
    <row r="13" spans="2:27" x14ac:dyDescent="0.3">
      <c r="B13" s="257" t="s">
        <v>4</v>
      </c>
      <c r="C13" s="258"/>
      <c r="D13" s="258"/>
      <c r="E13" s="258"/>
      <c r="F13" s="258"/>
      <c r="G13" s="258"/>
      <c r="H13" s="258"/>
      <c r="I13" s="258"/>
      <c r="J13" s="258"/>
      <c r="K13" s="259"/>
      <c r="M13" s="255" t="s">
        <v>15</v>
      </c>
      <c r="N13" s="256"/>
      <c r="O13" s="10">
        <v>29.377103181721552</v>
      </c>
      <c r="Q13" s="12"/>
      <c r="R13" s="13"/>
      <c r="S13" s="13"/>
      <c r="T13" s="13"/>
      <c r="U13" s="251"/>
      <c r="V13" s="251"/>
      <c r="W13" s="12"/>
      <c r="X13" s="12"/>
      <c r="Y13" s="12"/>
      <c r="Z13" s="12"/>
      <c r="AA13" s="12"/>
    </row>
    <row r="14" spans="2:27" ht="15" thickBot="1" x14ac:dyDescent="0.35">
      <c r="B14" s="264" t="s">
        <v>35</v>
      </c>
      <c r="C14" s="265"/>
      <c r="D14" s="265"/>
      <c r="E14" s="265"/>
      <c r="F14" s="265"/>
      <c r="G14" s="265"/>
      <c r="H14" s="265"/>
      <c r="I14" s="265"/>
      <c r="J14" s="265"/>
      <c r="K14" s="266"/>
      <c r="M14" s="255" t="s">
        <v>16</v>
      </c>
      <c r="N14" s="256"/>
      <c r="O14" s="10">
        <v>4.4864648940976375</v>
      </c>
      <c r="Q14" s="12"/>
      <c r="R14" s="13"/>
      <c r="S14" s="13"/>
      <c r="T14" s="13"/>
      <c r="U14" s="14"/>
      <c r="V14" s="14"/>
      <c r="W14" s="12"/>
      <c r="X14" s="12"/>
      <c r="Y14" s="12"/>
      <c r="Z14" s="12"/>
      <c r="AA14" s="12"/>
    </row>
    <row r="15" spans="2:27" ht="15" thickBot="1" x14ac:dyDescent="0.35">
      <c r="B15" s="11"/>
      <c r="C15" s="11"/>
      <c r="D15" s="11"/>
      <c r="E15" s="11"/>
      <c r="F15" s="11"/>
      <c r="G15" s="11"/>
      <c r="H15" s="11"/>
      <c r="I15" s="11"/>
      <c r="J15" s="11"/>
      <c r="K15" s="11"/>
      <c r="M15" s="278" t="s">
        <v>17</v>
      </c>
      <c r="N15" s="279"/>
      <c r="O15" s="111">
        <v>0.11086961585602849</v>
      </c>
      <c r="Q15" s="12"/>
      <c r="R15" s="13"/>
      <c r="S15" s="13"/>
      <c r="T15" s="13"/>
      <c r="U15" s="14"/>
      <c r="V15" s="14"/>
      <c r="W15" s="12"/>
      <c r="X15" s="12"/>
      <c r="Y15" s="12"/>
      <c r="Z15" s="12"/>
      <c r="AA15" s="12"/>
    </row>
    <row r="16" spans="2:27" x14ac:dyDescent="0.3">
      <c r="B16" s="263" t="s">
        <v>40</v>
      </c>
      <c r="C16" s="263"/>
      <c r="D16" s="263"/>
      <c r="E16" s="263"/>
      <c r="F16" s="11"/>
      <c r="G16" s="11"/>
      <c r="H16" s="11"/>
      <c r="I16" s="11"/>
      <c r="J16" s="11"/>
      <c r="K16" s="11"/>
      <c r="Q16" s="12"/>
      <c r="R16" s="13"/>
      <c r="S16" s="13"/>
      <c r="T16" s="13"/>
      <c r="U16" s="14"/>
      <c r="V16" s="14"/>
      <c r="W16" s="12"/>
      <c r="X16" s="12"/>
      <c r="Y16" s="12"/>
      <c r="Z16" s="12"/>
      <c r="AA16" s="12"/>
    </row>
    <row r="17" spans="1:49" x14ac:dyDescent="0.3">
      <c r="B17" s="267" t="s">
        <v>36</v>
      </c>
      <c r="C17" s="267"/>
      <c r="D17" s="267"/>
      <c r="E17" s="267"/>
      <c r="F17" s="267"/>
      <c r="G17" s="267"/>
      <c r="H17" s="267"/>
      <c r="I17" s="267"/>
      <c r="J17" s="267"/>
      <c r="K17" s="267"/>
      <c r="Q17" s="12"/>
      <c r="R17" s="13"/>
      <c r="S17" s="13"/>
      <c r="T17" s="13"/>
      <c r="U17" s="14"/>
      <c r="V17" s="14"/>
      <c r="W17" s="12"/>
      <c r="X17" s="12"/>
      <c r="Y17" s="12"/>
      <c r="Z17" s="12"/>
      <c r="AA17" s="12"/>
    </row>
    <row r="18" spans="1:49" x14ac:dyDescent="0.3">
      <c r="B18" s="263" t="s">
        <v>37</v>
      </c>
      <c r="C18" s="263"/>
      <c r="D18" s="263"/>
      <c r="E18" s="263"/>
      <c r="F18" s="263"/>
      <c r="G18" s="263"/>
      <c r="H18" s="263"/>
      <c r="I18" s="263"/>
      <c r="J18" s="263"/>
      <c r="K18" s="263"/>
      <c r="Q18" s="12"/>
      <c r="R18" s="13"/>
      <c r="S18" s="13"/>
      <c r="T18" s="13"/>
      <c r="U18" s="14"/>
      <c r="V18" s="14"/>
      <c r="W18" s="12"/>
      <c r="X18" s="12"/>
      <c r="Y18" s="12"/>
      <c r="Z18" s="12"/>
      <c r="AA18" s="12"/>
    </row>
    <row r="19" spans="1:49" x14ac:dyDescent="0.3">
      <c r="B19" s="263" t="s">
        <v>38</v>
      </c>
      <c r="C19" s="263"/>
      <c r="D19" s="263"/>
      <c r="E19" s="263"/>
      <c r="F19" s="263"/>
      <c r="G19" s="263"/>
      <c r="H19" s="263"/>
      <c r="I19" s="263"/>
      <c r="J19" s="263"/>
      <c r="K19" s="263"/>
      <c r="Q19" s="12"/>
      <c r="R19" s="13"/>
      <c r="S19" s="13"/>
      <c r="T19" s="13"/>
      <c r="U19" s="251"/>
      <c r="V19" s="251"/>
      <c r="W19" s="12"/>
      <c r="X19" s="12"/>
      <c r="Y19" s="12"/>
      <c r="Z19" s="12"/>
      <c r="AA19" s="12"/>
    </row>
    <row r="20" spans="1:49" ht="15" thickBot="1" x14ac:dyDescent="0.35">
      <c r="B20" s="11"/>
      <c r="C20" s="11"/>
      <c r="D20" s="11"/>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row>
    <row r="21" spans="1:49" ht="29.4" thickBot="1" x14ac:dyDescent="0.35">
      <c r="A21" s="20" t="s">
        <v>2</v>
      </c>
      <c r="B21" s="21" t="s">
        <v>9</v>
      </c>
      <c r="C21" s="22" t="s">
        <v>10</v>
      </c>
      <c r="E21" s="275" t="s">
        <v>0</v>
      </c>
      <c r="F21" s="276"/>
      <c r="G21" s="276"/>
      <c r="H21" s="276"/>
      <c r="I21" s="276"/>
      <c r="J21" s="276"/>
      <c r="K21" s="276"/>
      <c r="L21" s="276"/>
      <c r="M21" s="276"/>
      <c r="N21" s="276"/>
      <c r="O21" s="276"/>
      <c r="P21" s="276"/>
      <c r="Q21" s="276"/>
      <c r="R21" s="276"/>
      <c r="S21" s="276"/>
      <c r="T21" s="276"/>
      <c r="U21" s="276"/>
      <c r="V21" s="276"/>
      <c r="W21" s="276"/>
      <c r="X21" s="276"/>
      <c r="Y21" s="276"/>
      <c r="Z21" s="276"/>
      <c r="AA21" s="276"/>
      <c r="AB21" s="276"/>
      <c r="AC21" s="276"/>
      <c r="AD21" s="276"/>
      <c r="AE21" s="277"/>
    </row>
    <row r="22" spans="1:49" ht="18.600000000000001" customHeight="1" thickBot="1" x14ac:dyDescent="0.35">
      <c r="A22" s="17">
        <v>1</v>
      </c>
      <c r="B22" s="18">
        <v>5.5</v>
      </c>
      <c r="C22" s="19">
        <v>26</v>
      </c>
      <c r="D22" s="4"/>
      <c r="E22" s="105" t="s">
        <v>43</v>
      </c>
      <c r="F22" s="106" t="s">
        <v>44</v>
      </c>
      <c r="G22" s="106" t="s">
        <v>48</v>
      </c>
      <c r="H22" s="106" t="s">
        <v>49</v>
      </c>
      <c r="I22" s="107" t="s">
        <v>45</v>
      </c>
      <c r="J22" s="108"/>
      <c r="K22" s="105" t="s">
        <v>43</v>
      </c>
      <c r="L22" s="106" t="s">
        <v>44</v>
      </c>
      <c r="M22" s="106" t="s">
        <v>48</v>
      </c>
      <c r="N22" s="106" t="s">
        <v>49</v>
      </c>
      <c r="O22" s="107" t="s">
        <v>45</v>
      </c>
      <c r="P22" s="87"/>
      <c r="Q22" s="103" t="s">
        <v>60</v>
      </c>
      <c r="R22" s="104" t="s">
        <v>65</v>
      </c>
      <c r="S22" s="104" t="s">
        <v>62</v>
      </c>
      <c r="T22" s="102" t="s">
        <v>64</v>
      </c>
      <c r="U22" s="45"/>
      <c r="V22" s="24"/>
      <c r="W22" s="24"/>
      <c r="X22" s="24"/>
      <c r="Y22" s="24"/>
      <c r="Z22" s="24"/>
      <c r="AA22" s="24"/>
      <c r="AB22" s="24"/>
      <c r="AC22" s="24"/>
      <c r="AD22" s="24"/>
      <c r="AE22" s="25"/>
    </row>
    <row r="23" spans="1:49" x14ac:dyDescent="0.3">
      <c r="A23" s="6">
        <v>2</v>
      </c>
      <c r="B23" s="9">
        <v>10.1</v>
      </c>
      <c r="C23" s="7">
        <v>49</v>
      </c>
      <c r="D23" s="4"/>
      <c r="E23" s="46">
        <v>5.5</v>
      </c>
      <c r="F23" s="57">
        <v>26</v>
      </c>
      <c r="G23" s="24">
        <f>E23^2</f>
        <v>30.25</v>
      </c>
      <c r="H23" s="58">
        <f>F23^2</f>
        <v>676</v>
      </c>
      <c r="I23" s="25">
        <f>E23*F23</f>
        <v>143</v>
      </c>
      <c r="J23" s="61"/>
      <c r="K23" s="46">
        <v>5.5</v>
      </c>
      <c r="L23" s="47">
        <v>26</v>
      </c>
      <c r="M23" s="24">
        <f>K23^2</f>
        <v>30.25</v>
      </c>
      <c r="N23" s="58">
        <f>L23^2</f>
        <v>676</v>
      </c>
      <c r="O23" s="25">
        <f>K23*L23</f>
        <v>143</v>
      </c>
      <c r="P23" s="61"/>
      <c r="Q23" s="52">
        <f>$M$56+$M$55*K23</f>
        <v>30.004972893247231</v>
      </c>
      <c r="R23" s="99">
        <f>ABS(L23-Q23)</f>
        <v>4.0049728932472313</v>
      </c>
      <c r="S23" s="100">
        <f>R23^2</f>
        <v>16.039807875645099</v>
      </c>
      <c r="T23" s="101">
        <f>R23/L23</f>
        <v>0.15403741897104736</v>
      </c>
      <c r="U23" s="34"/>
      <c r="V23" s="1"/>
      <c r="W23" s="1"/>
      <c r="X23" s="32"/>
      <c r="Y23" s="33"/>
      <c r="Z23" s="1"/>
      <c r="AA23" s="1"/>
      <c r="AB23" s="1"/>
      <c r="AC23" s="1"/>
      <c r="AD23" s="1"/>
      <c r="AE23" s="26"/>
      <c r="AN23"/>
      <c r="AO23"/>
      <c r="AP23"/>
      <c r="AQ23"/>
      <c r="AR23"/>
      <c r="AS23"/>
      <c r="AT23"/>
      <c r="AU23"/>
      <c r="AV23"/>
    </row>
    <row r="24" spans="1:49" x14ac:dyDescent="0.3">
      <c r="A24" s="6">
        <v>3</v>
      </c>
      <c r="B24" s="9">
        <v>11.1</v>
      </c>
      <c r="C24" s="7">
        <v>53</v>
      </c>
      <c r="D24" s="4"/>
      <c r="E24" s="42">
        <v>10.1</v>
      </c>
      <c r="F24" s="54">
        <v>49</v>
      </c>
      <c r="G24" s="1">
        <f t="shared" ref="G24:G46" si="0">E24^2</f>
        <v>102.00999999999999</v>
      </c>
      <c r="H24" s="56">
        <f t="shared" ref="H24:H46" si="1">F24^2</f>
        <v>2401</v>
      </c>
      <c r="I24" s="26">
        <f t="shared" ref="I24:I46" si="2">E24*F24</f>
        <v>494.9</v>
      </c>
      <c r="J24" s="61"/>
      <c r="K24" s="42">
        <v>10.1</v>
      </c>
      <c r="L24" s="7">
        <v>49</v>
      </c>
      <c r="M24" s="1">
        <f t="shared" ref="M24:M46" si="3">K24^2</f>
        <v>102.00999999999999</v>
      </c>
      <c r="N24" s="56">
        <f t="shared" ref="N24:N46" si="4">L24^2</f>
        <v>2401</v>
      </c>
      <c r="O24" s="26">
        <f t="shared" ref="O24:O46" si="5">K24*L24</f>
        <v>494.9</v>
      </c>
      <c r="P24" s="61"/>
      <c r="Q24" s="2">
        <f t="shared" ref="Q24:Q46" si="6">$M$56+$M$55*K24</f>
        <v>51.54306186717691</v>
      </c>
      <c r="R24" s="56">
        <f t="shared" ref="R24:R46" si="7">ABS(L24-Q24)</f>
        <v>2.5430618671769096</v>
      </c>
      <c r="S24" s="85">
        <f t="shared" ref="S24:S46" si="8">R24^2</f>
        <v>6.4671636602893097</v>
      </c>
      <c r="T24" s="26">
        <f t="shared" ref="T24:T46" si="9">R24/L24</f>
        <v>5.1899221779120604E-2</v>
      </c>
      <c r="U24" s="34"/>
      <c r="V24" s="1"/>
      <c r="W24" s="1"/>
      <c r="X24" s="32"/>
      <c r="Y24" s="33"/>
      <c r="Z24" s="1"/>
      <c r="AA24" s="1"/>
      <c r="AB24" s="1"/>
      <c r="AC24" s="1"/>
      <c r="AD24" s="1"/>
      <c r="AE24" s="26"/>
      <c r="AN24"/>
      <c r="AO24"/>
      <c r="AP24"/>
      <c r="AQ24"/>
      <c r="AR24"/>
      <c r="AS24"/>
      <c r="AT24"/>
      <c r="AU24"/>
      <c r="AV24"/>
    </row>
    <row r="25" spans="1:49" x14ac:dyDescent="0.3">
      <c r="A25" s="6">
        <v>4</v>
      </c>
      <c r="B25" s="9">
        <v>6.7</v>
      </c>
      <c r="C25" s="7">
        <v>30</v>
      </c>
      <c r="D25" s="4"/>
      <c r="E25" s="42">
        <v>11.1</v>
      </c>
      <c r="F25" s="54">
        <v>53</v>
      </c>
      <c r="G25" s="1">
        <f t="shared" si="0"/>
        <v>123.21</v>
      </c>
      <c r="H25" s="56">
        <f t="shared" si="1"/>
        <v>2809</v>
      </c>
      <c r="I25" s="26">
        <f t="shared" si="2"/>
        <v>588.29999999999995</v>
      </c>
      <c r="J25" s="61"/>
      <c r="K25" s="42">
        <v>11.1</v>
      </c>
      <c r="L25" s="7">
        <v>53</v>
      </c>
      <c r="M25" s="1">
        <f t="shared" si="3"/>
        <v>123.21</v>
      </c>
      <c r="N25" s="56">
        <f t="shared" si="4"/>
        <v>2809</v>
      </c>
      <c r="O25" s="26">
        <f t="shared" si="5"/>
        <v>588.29999999999995</v>
      </c>
      <c r="P25" s="61"/>
      <c r="Q25" s="2">
        <f t="shared" si="6"/>
        <v>56.225255122379018</v>
      </c>
      <c r="R25" s="56">
        <f t="shared" si="7"/>
        <v>3.2252551223790178</v>
      </c>
      <c r="S25" s="85">
        <f t="shared" si="8"/>
        <v>10.402270604432093</v>
      </c>
      <c r="T25" s="26">
        <f t="shared" si="9"/>
        <v>6.0853870233566372E-2</v>
      </c>
      <c r="U25" s="34"/>
      <c r="V25" s="1"/>
      <c r="W25" s="1"/>
      <c r="X25" s="32"/>
      <c r="Y25" s="32"/>
      <c r="Z25" s="1"/>
      <c r="AA25" s="1"/>
      <c r="AB25" s="1"/>
      <c r="AC25" s="1"/>
      <c r="AD25" s="1"/>
      <c r="AE25" s="26"/>
      <c r="AN25" s="39"/>
      <c r="AO25" s="39"/>
      <c r="AP25" s="40"/>
      <c r="AQ25" s="40"/>
      <c r="AR25" s="40"/>
      <c r="AS25" s="40"/>
      <c r="AT25" s="40"/>
      <c r="AU25" s="40"/>
      <c r="AV25" s="40"/>
      <c r="AW25" s="4"/>
    </row>
    <row r="26" spans="1:49" x14ac:dyDescent="0.3">
      <c r="A26" s="6">
        <v>5</v>
      </c>
      <c r="B26" s="9">
        <v>1.5</v>
      </c>
      <c r="C26" s="7">
        <v>11</v>
      </c>
      <c r="D26" s="4"/>
      <c r="E26" s="42">
        <v>6.7</v>
      </c>
      <c r="F26" s="54">
        <v>30</v>
      </c>
      <c r="G26" s="1">
        <f t="shared" si="0"/>
        <v>44.89</v>
      </c>
      <c r="H26" s="56">
        <f t="shared" si="1"/>
        <v>900</v>
      </c>
      <c r="I26" s="26">
        <f t="shared" si="2"/>
        <v>201</v>
      </c>
      <c r="J26" s="62"/>
      <c r="K26" s="42">
        <v>6.7</v>
      </c>
      <c r="L26" s="7">
        <v>30</v>
      </c>
      <c r="M26" s="1">
        <f t="shared" si="3"/>
        <v>44.89</v>
      </c>
      <c r="N26" s="56">
        <f t="shared" si="4"/>
        <v>900</v>
      </c>
      <c r="O26" s="26">
        <f t="shared" si="5"/>
        <v>201</v>
      </c>
      <c r="P26" s="61"/>
      <c r="Q26" s="2">
        <f t="shared" si="6"/>
        <v>35.623604799489755</v>
      </c>
      <c r="R26" s="56">
        <f t="shared" si="7"/>
        <v>5.6236047994897547</v>
      </c>
      <c r="S26" s="85">
        <f t="shared" si="8"/>
        <v>31.624930940844205</v>
      </c>
      <c r="T26" s="26">
        <f t="shared" si="9"/>
        <v>0.18745349331632516</v>
      </c>
      <c r="U26" s="34"/>
      <c r="V26" s="1"/>
      <c r="W26" s="1"/>
      <c r="X26" s="32"/>
      <c r="Y26" s="32"/>
      <c r="Z26" s="1"/>
      <c r="AA26" s="1"/>
      <c r="AB26" s="1"/>
      <c r="AC26" s="1"/>
      <c r="AD26" s="1"/>
      <c r="AE26" s="26"/>
      <c r="AN26" s="31"/>
      <c r="AO26" s="31"/>
      <c r="AP26" s="40"/>
      <c r="AQ26" s="40"/>
      <c r="AR26" s="40"/>
      <c r="AS26" s="40"/>
      <c r="AT26" s="40"/>
      <c r="AU26" s="40"/>
      <c r="AV26" s="40"/>
      <c r="AW26" s="4"/>
    </row>
    <row r="27" spans="1:49" x14ac:dyDescent="0.3">
      <c r="A27" s="6">
        <v>6</v>
      </c>
      <c r="B27" s="9">
        <v>10.5</v>
      </c>
      <c r="C27" s="7">
        <v>51</v>
      </c>
      <c r="D27" s="4"/>
      <c r="E27" s="42">
        <v>1.5</v>
      </c>
      <c r="F27" s="54">
        <v>11</v>
      </c>
      <c r="G27" s="1">
        <f t="shared" si="0"/>
        <v>2.25</v>
      </c>
      <c r="H27" s="56">
        <f t="shared" si="1"/>
        <v>121</v>
      </c>
      <c r="I27" s="26">
        <f t="shared" si="2"/>
        <v>16.5</v>
      </c>
      <c r="J27" s="62"/>
      <c r="K27" s="42">
        <v>1.5</v>
      </c>
      <c r="L27" s="7">
        <v>11</v>
      </c>
      <c r="M27" s="1">
        <f t="shared" si="3"/>
        <v>2.25</v>
      </c>
      <c r="N27" s="56">
        <f t="shared" si="4"/>
        <v>121</v>
      </c>
      <c r="O27" s="26">
        <f t="shared" si="5"/>
        <v>16.5</v>
      </c>
      <c r="P27" s="61"/>
      <c r="Q27" s="2">
        <f t="shared" si="6"/>
        <v>11.276199872438809</v>
      </c>
      <c r="R27" s="56">
        <f t="shared" si="7"/>
        <v>0.27619987243880928</v>
      </c>
      <c r="S27" s="85">
        <f t="shared" si="8"/>
        <v>7.6286369535214518E-2</v>
      </c>
      <c r="T27" s="26">
        <f t="shared" si="9"/>
        <v>2.5109079312619024E-2</v>
      </c>
      <c r="U27" s="34"/>
      <c r="V27" s="1"/>
      <c r="W27" s="1"/>
      <c r="X27" s="1"/>
      <c r="Y27" s="1"/>
      <c r="Z27" s="1"/>
      <c r="AA27" s="1"/>
      <c r="AB27" s="1"/>
      <c r="AC27" s="1"/>
      <c r="AD27" s="1"/>
      <c r="AE27" s="26"/>
      <c r="AN27" s="31"/>
      <c r="AO27" s="31"/>
      <c r="AP27" s="40"/>
      <c r="AQ27" s="40"/>
      <c r="AR27" s="40"/>
      <c r="AS27" s="40"/>
      <c r="AT27" s="40"/>
      <c r="AU27" s="40"/>
      <c r="AV27" s="40"/>
      <c r="AW27" s="4"/>
    </row>
    <row r="28" spans="1:49" x14ac:dyDescent="0.3">
      <c r="A28" s="6">
        <v>7</v>
      </c>
      <c r="B28" s="9">
        <v>11.9</v>
      </c>
      <c r="C28" s="7">
        <v>67</v>
      </c>
      <c r="D28" s="4"/>
      <c r="E28" s="42">
        <v>10.5</v>
      </c>
      <c r="F28" s="54">
        <v>51</v>
      </c>
      <c r="G28" s="1">
        <f t="shared" si="0"/>
        <v>110.25</v>
      </c>
      <c r="H28" s="56">
        <f t="shared" si="1"/>
        <v>2601</v>
      </c>
      <c r="I28" s="26">
        <f t="shared" si="2"/>
        <v>535.5</v>
      </c>
      <c r="J28" s="62"/>
      <c r="K28" s="42">
        <v>10.5</v>
      </c>
      <c r="L28" s="7">
        <v>51</v>
      </c>
      <c r="M28" s="1">
        <f t="shared" si="3"/>
        <v>110.25</v>
      </c>
      <c r="N28" s="56">
        <f t="shared" si="4"/>
        <v>2601</v>
      </c>
      <c r="O28" s="26">
        <f t="shared" si="5"/>
        <v>535.5</v>
      </c>
      <c r="P28" s="61"/>
      <c r="Q28" s="2">
        <f t="shared" si="6"/>
        <v>53.415939169257754</v>
      </c>
      <c r="R28" s="56">
        <f t="shared" si="7"/>
        <v>2.4159391692577543</v>
      </c>
      <c r="S28" s="85">
        <f t="shared" si="8"/>
        <v>5.8367620695538482</v>
      </c>
      <c r="T28" s="26">
        <f t="shared" si="9"/>
        <v>4.737135625995597E-2</v>
      </c>
      <c r="U28" s="48"/>
      <c r="V28" s="38"/>
      <c r="W28" s="38"/>
      <c r="X28" s="38"/>
      <c r="Y28" s="38"/>
      <c r="Z28" s="38"/>
      <c r="AA28" s="38"/>
      <c r="AB28" s="38"/>
      <c r="AC28" s="38"/>
      <c r="AD28" s="1"/>
      <c r="AE28" s="26"/>
      <c r="AN28" s="31"/>
      <c r="AO28" s="31"/>
      <c r="AP28" s="40"/>
      <c r="AQ28" s="40"/>
      <c r="AR28" s="40"/>
      <c r="AS28" s="40"/>
      <c r="AT28" s="40"/>
      <c r="AU28" s="40"/>
      <c r="AV28" s="40"/>
      <c r="AW28" s="4"/>
    </row>
    <row r="29" spans="1:49" ht="15.75" customHeight="1" x14ac:dyDescent="0.3">
      <c r="A29" s="6">
        <v>8</v>
      </c>
      <c r="B29" s="9">
        <v>0</v>
      </c>
      <c r="C29" s="7">
        <v>5</v>
      </c>
      <c r="D29" s="4"/>
      <c r="E29" s="42">
        <v>11.9</v>
      </c>
      <c r="F29" s="54">
        <v>67</v>
      </c>
      <c r="G29" s="1">
        <f t="shared" si="0"/>
        <v>141.61000000000001</v>
      </c>
      <c r="H29" s="56">
        <f t="shared" si="1"/>
        <v>4489</v>
      </c>
      <c r="I29" s="26">
        <f t="shared" si="2"/>
        <v>797.30000000000007</v>
      </c>
      <c r="J29" s="62"/>
      <c r="K29" s="42">
        <v>11.9</v>
      </c>
      <c r="L29" s="7">
        <v>67</v>
      </c>
      <c r="M29" s="1">
        <f t="shared" si="3"/>
        <v>141.61000000000001</v>
      </c>
      <c r="N29" s="56">
        <f t="shared" si="4"/>
        <v>4489</v>
      </c>
      <c r="O29" s="26">
        <f t="shared" si="5"/>
        <v>797.30000000000007</v>
      </c>
      <c r="P29" s="61"/>
      <c r="Q29" s="2">
        <f t="shared" si="6"/>
        <v>59.971009726540707</v>
      </c>
      <c r="R29" s="56">
        <f t="shared" si="7"/>
        <v>7.0289902734592928</v>
      </c>
      <c r="S29" s="85">
        <f t="shared" si="8"/>
        <v>49.406704264385347</v>
      </c>
      <c r="T29" s="26">
        <f t="shared" si="9"/>
        <v>0.10491030258894467</v>
      </c>
      <c r="U29" s="48"/>
      <c r="V29" s="38"/>
      <c r="W29" s="38"/>
      <c r="X29" s="38"/>
      <c r="Y29" s="38"/>
      <c r="Z29" s="38"/>
      <c r="AA29" s="38"/>
      <c r="AB29" s="38"/>
      <c r="AC29" s="38"/>
      <c r="AD29" s="1"/>
      <c r="AE29" s="26"/>
      <c r="AN29" s="31"/>
      <c r="AO29" s="31"/>
      <c r="AP29" s="40"/>
      <c r="AQ29" s="40"/>
      <c r="AR29" s="40"/>
      <c r="AS29" s="40"/>
      <c r="AT29" s="40"/>
      <c r="AU29" s="40"/>
      <c r="AV29" s="40"/>
      <c r="AW29" s="4"/>
    </row>
    <row r="30" spans="1:49" x14ac:dyDescent="0.3">
      <c r="A30" s="6">
        <v>9</v>
      </c>
      <c r="B30" s="9">
        <v>6.8</v>
      </c>
      <c r="C30" s="7">
        <v>40</v>
      </c>
      <c r="D30" s="4"/>
      <c r="E30" s="42">
        <v>0</v>
      </c>
      <c r="F30" s="54">
        <v>5</v>
      </c>
      <c r="G30" s="1">
        <f t="shared" si="0"/>
        <v>0</v>
      </c>
      <c r="H30" s="56">
        <f t="shared" si="1"/>
        <v>25</v>
      </c>
      <c r="I30" s="26">
        <f t="shared" si="2"/>
        <v>0</v>
      </c>
      <c r="J30" s="62"/>
      <c r="K30" s="42">
        <v>0</v>
      </c>
      <c r="L30" s="7">
        <v>5</v>
      </c>
      <c r="M30" s="1">
        <f t="shared" si="3"/>
        <v>0</v>
      </c>
      <c r="N30" s="56">
        <f t="shared" si="4"/>
        <v>25</v>
      </c>
      <c r="O30" s="26">
        <f t="shared" si="5"/>
        <v>0</v>
      </c>
      <c r="P30" s="61"/>
      <c r="Q30" s="2">
        <f t="shared" si="6"/>
        <v>4.2529099896356497</v>
      </c>
      <c r="R30" s="56">
        <f t="shared" si="7"/>
        <v>0.7470900103643503</v>
      </c>
      <c r="S30" s="85">
        <f t="shared" si="8"/>
        <v>0.55814348358620502</v>
      </c>
      <c r="T30" s="26">
        <f t="shared" si="9"/>
        <v>0.14941800207287007</v>
      </c>
      <c r="U30" s="48"/>
      <c r="V30" s="38"/>
      <c r="W30" s="38"/>
      <c r="X30" s="38"/>
      <c r="Y30" s="38"/>
      <c r="Z30" s="38"/>
      <c r="AA30" s="38"/>
      <c r="AB30" s="38"/>
      <c r="AC30" s="38"/>
      <c r="AD30" s="1"/>
      <c r="AE30" s="26"/>
      <c r="AN30" s="31"/>
      <c r="AO30" s="31"/>
      <c r="AP30" s="40"/>
      <c r="AQ30" s="40"/>
      <c r="AR30" s="40"/>
      <c r="AS30" s="40"/>
      <c r="AT30" s="40"/>
      <c r="AU30" s="40"/>
      <c r="AV30" s="40"/>
      <c r="AW30" s="4"/>
    </row>
    <row r="31" spans="1:49" x14ac:dyDescent="0.3">
      <c r="A31" s="6">
        <v>10</v>
      </c>
      <c r="B31" s="9">
        <v>7.1</v>
      </c>
      <c r="C31" s="7">
        <v>41</v>
      </c>
      <c r="D31" s="4"/>
      <c r="E31" s="42">
        <v>6.8</v>
      </c>
      <c r="F31" s="54">
        <v>40</v>
      </c>
      <c r="G31" s="1">
        <f t="shared" si="0"/>
        <v>46.239999999999995</v>
      </c>
      <c r="H31" s="56">
        <f t="shared" si="1"/>
        <v>1600</v>
      </c>
      <c r="I31" s="26">
        <f t="shared" si="2"/>
        <v>272</v>
      </c>
      <c r="J31" s="63"/>
      <c r="K31" s="42">
        <v>6.8</v>
      </c>
      <c r="L31" s="7">
        <v>40</v>
      </c>
      <c r="M31" s="1">
        <f t="shared" si="3"/>
        <v>46.239999999999995</v>
      </c>
      <c r="N31" s="56">
        <f t="shared" si="4"/>
        <v>1600</v>
      </c>
      <c r="O31" s="26">
        <f t="shared" si="5"/>
        <v>272</v>
      </c>
      <c r="P31" s="61"/>
      <c r="Q31" s="2">
        <f t="shared" si="6"/>
        <v>36.091824125009964</v>
      </c>
      <c r="R31" s="56">
        <f t="shared" si="7"/>
        <v>3.9081758749900359</v>
      </c>
      <c r="S31" s="85">
        <f t="shared" si="8"/>
        <v>15.273838669854133</v>
      </c>
      <c r="T31" s="26">
        <f t="shared" si="9"/>
        <v>9.7704396874750896E-2</v>
      </c>
      <c r="U31" s="48"/>
      <c r="V31" s="38"/>
      <c r="W31" s="38"/>
      <c r="X31" s="38"/>
      <c r="Y31" s="38"/>
      <c r="Z31" s="38"/>
      <c r="AA31" s="38"/>
      <c r="AB31" s="38"/>
      <c r="AC31" s="38"/>
      <c r="AD31" s="1"/>
      <c r="AE31" s="26"/>
      <c r="AN31" s="40"/>
      <c r="AO31" s="40"/>
      <c r="AP31" s="40"/>
      <c r="AQ31" s="40"/>
      <c r="AR31" s="40"/>
      <c r="AS31" s="40"/>
      <c r="AT31" s="40"/>
      <c r="AU31" s="40"/>
      <c r="AV31" s="40"/>
      <c r="AW31" s="4"/>
    </row>
    <row r="32" spans="1:49" x14ac:dyDescent="0.3">
      <c r="A32" s="6">
        <v>11</v>
      </c>
      <c r="B32" s="9">
        <v>8.5</v>
      </c>
      <c r="C32" s="7">
        <v>36</v>
      </c>
      <c r="D32" s="4"/>
      <c r="E32" s="42">
        <v>7.1</v>
      </c>
      <c r="F32" s="54">
        <v>41</v>
      </c>
      <c r="G32" s="1">
        <f t="shared" si="0"/>
        <v>50.41</v>
      </c>
      <c r="H32" s="56">
        <f t="shared" si="1"/>
        <v>1681</v>
      </c>
      <c r="I32" s="26">
        <f t="shared" si="2"/>
        <v>291.09999999999997</v>
      </c>
      <c r="J32" s="63"/>
      <c r="K32" s="42">
        <v>7.1</v>
      </c>
      <c r="L32" s="7">
        <v>41</v>
      </c>
      <c r="M32" s="1">
        <f t="shared" si="3"/>
        <v>50.41</v>
      </c>
      <c r="N32" s="56">
        <f t="shared" si="4"/>
        <v>1681</v>
      </c>
      <c r="O32" s="26">
        <f t="shared" si="5"/>
        <v>291.09999999999997</v>
      </c>
      <c r="P32" s="61"/>
      <c r="Q32" s="2">
        <f t="shared" si="6"/>
        <v>37.496482101570592</v>
      </c>
      <c r="R32" s="56">
        <f t="shared" si="7"/>
        <v>3.5035178984294078</v>
      </c>
      <c r="S32" s="85">
        <f t="shared" si="8"/>
        <v>12.274637664615215</v>
      </c>
      <c r="T32" s="26">
        <f t="shared" si="9"/>
        <v>8.5451656059253853E-2</v>
      </c>
      <c r="U32" s="48"/>
      <c r="V32" s="38"/>
      <c r="W32" s="38"/>
      <c r="X32" s="38"/>
      <c r="Y32" s="38"/>
      <c r="Z32" s="38"/>
      <c r="AA32" s="38"/>
      <c r="AB32" s="38"/>
      <c r="AC32" s="38"/>
      <c r="AD32" s="1"/>
      <c r="AE32" s="26"/>
      <c r="AN32" s="40"/>
      <c r="AO32" s="40"/>
      <c r="AP32" s="40"/>
      <c r="AQ32" s="40"/>
      <c r="AR32" s="40"/>
      <c r="AS32" s="40"/>
      <c r="AT32" s="40"/>
      <c r="AU32" s="40"/>
      <c r="AV32" s="40"/>
      <c r="AW32" s="4"/>
    </row>
    <row r="33" spans="1:49" x14ac:dyDescent="0.3">
      <c r="A33" s="6">
        <v>12</v>
      </c>
      <c r="B33" s="9">
        <v>11.4</v>
      </c>
      <c r="C33" s="7">
        <v>55</v>
      </c>
      <c r="D33" s="4"/>
      <c r="E33" s="42">
        <v>8.5</v>
      </c>
      <c r="F33" s="54">
        <v>36</v>
      </c>
      <c r="G33" s="1">
        <f t="shared" si="0"/>
        <v>72.25</v>
      </c>
      <c r="H33" s="56">
        <f t="shared" si="1"/>
        <v>1296</v>
      </c>
      <c r="I33" s="26">
        <f t="shared" si="2"/>
        <v>306</v>
      </c>
      <c r="J33" s="63"/>
      <c r="K33" s="42">
        <v>8.5</v>
      </c>
      <c r="L33" s="7">
        <v>36</v>
      </c>
      <c r="M33" s="1">
        <f t="shared" si="3"/>
        <v>72.25</v>
      </c>
      <c r="N33" s="56">
        <f t="shared" si="4"/>
        <v>1296</v>
      </c>
      <c r="O33" s="26">
        <f t="shared" si="5"/>
        <v>306</v>
      </c>
      <c r="P33" s="61"/>
      <c r="Q33" s="2">
        <f t="shared" si="6"/>
        <v>44.051552658853545</v>
      </c>
      <c r="R33" s="56">
        <f t="shared" si="7"/>
        <v>8.0515526588535451</v>
      </c>
      <c r="S33" s="85">
        <f t="shared" si="8"/>
        <v>64.82750021829159</v>
      </c>
      <c r="T33" s="26">
        <f t="shared" si="9"/>
        <v>0.22365424052370958</v>
      </c>
      <c r="U33" s="48"/>
      <c r="V33" s="38"/>
      <c r="W33" s="38"/>
      <c r="X33" s="38"/>
      <c r="Y33" s="38"/>
      <c r="Z33" s="38"/>
      <c r="AA33" s="38"/>
      <c r="AB33" s="38"/>
      <c r="AC33" s="38"/>
      <c r="AD33" s="1"/>
      <c r="AE33" s="26"/>
      <c r="AN33" s="41"/>
      <c r="AO33" s="41"/>
      <c r="AP33" s="41"/>
      <c r="AQ33" s="41"/>
      <c r="AR33" s="41"/>
      <c r="AS33" s="41"/>
      <c r="AT33" s="40"/>
      <c r="AU33" s="40"/>
      <c r="AV33" s="40"/>
      <c r="AW33" s="4"/>
    </row>
    <row r="34" spans="1:49" x14ac:dyDescent="0.3">
      <c r="A34" s="6">
        <v>13</v>
      </c>
      <c r="B34" s="9">
        <v>10.1</v>
      </c>
      <c r="C34" s="7">
        <v>42</v>
      </c>
      <c r="D34" s="4"/>
      <c r="E34" s="42">
        <v>11.4</v>
      </c>
      <c r="F34" s="54">
        <v>55</v>
      </c>
      <c r="G34" s="1">
        <f t="shared" si="0"/>
        <v>129.96</v>
      </c>
      <c r="H34" s="56">
        <f t="shared" si="1"/>
        <v>3025</v>
      </c>
      <c r="I34" s="26">
        <f t="shared" si="2"/>
        <v>627</v>
      </c>
      <c r="J34" s="63"/>
      <c r="K34" s="42">
        <v>11.4</v>
      </c>
      <c r="L34" s="7">
        <v>55</v>
      </c>
      <c r="M34" s="1">
        <f t="shared" si="3"/>
        <v>129.96</v>
      </c>
      <c r="N34" s="56">
        <f t="shared" si="4"/>
        <v>3025</v>
      </c>
      <c r="O34" s="26">
        <f t="shared" si="5"/>
        <v>627</v>
      </c>
      <c r="P34" s="61"/>
      <c r="Q34" s="2">
        <f t="shared" si="6"/>
        <v>57.629913098939653</v>
      </c>
      <c r="R34" s="56">
        <f t="shared" si="7"/>
        <v>2.6299130989396531</v>
      </c>
      <c r="S34" s="85">
        <f t="shared" si="8"/>
        <v>6.9164429079743694</v>
      </c>
      <c r="T34" s="26">
        <f t="shared" si="9"/>
        <v>4.7816601798902784E-2</v>
      </c>
      <c r="U34" s="48"/>
      <c r="V34" s="38"/>
      <c r="W34" s="38"/>
      <c r="X34" s="38"/>
      <c r="Y34" s="38"/>
      <c r="Z34" s="38"/>
      <c r="AA34" s="38"/>
      <c r="AB34" s="38"/>
      <c r="AC34" s="38"/>
      <c r="AD34" s="1"/>
      <c r="AE34" s="26"/>
      <c r="AN34" s="31"/>
      <c r="AO34" s="31"/>
      <c r="AP34" s="31"/>
      <c r="AQ34" s="31"/>
      <c r="AR34" s="31"/>
      <c r="AS34" s="31"/>
      <c r="AT34" s="40"/>
      <c r="AU34" s="40"/>
      <c r="AV34" s="40"/>
      <c r="AW34" s="4"/>
    </row>
    <row r="35" spans="1:49" ht="15" customHeight="1" x14ac:dyDescent="0.3">
      <c r="A35" s="6">
        <v>14</v>
      </c>
      <c r="B35" s="9">
        <v>13.9</v>
      </c>
      <c r="C35" s="7">
        <v>75</v>
      </c>
      <c r="D35" s="4"/>
      <c r="E35" s="42">
        <v>10.1</v>
      </c>
      <c r="F35" s="54">
        <v>42</v>
      </c>
      <c r="G35" s="1">
        <f t="shared" si="0"/>
        <v>102.00999999999999</v>
      </c>
      <c r="H35" s="56">
        <f t="shared" si="1"/>
        <v>1764</v>
      </c>
      <c r="I35" s="26">
        <f t="shared" si="2"/>
        <v>424.2</v>
      </c>
      <c r="J35" s="63"/>
      <c r="K35" s="42">
        <v>10.1</v>
      </c>
      <c r="L35" s="7">
        <v>42</v>
      </c>
      <c r="M35" s="1">
        <f t="shared" si="3"/>
        <v>102.00999999999999</v>
      </c>
      <c r="N35" s="56">
        <f t="shared" si="4"/>
        <v>1764</v>
      </c>
      <c r="O35" s="26">
        <f t="shared" si="5"/>
        <v>424.2</v>
      </c>
      <c r="P35" s="61"/>
      <c r="Q35" s="2">
        <f t="shared" si="6"/>
        <v>51.54306186717691</v>
      </c>
      <c r="R35" s="56">
        <f t="shared" si="7"/>
        <v>9.5430618671769096</v>
      </c>
      <c r="S35" s="85">
        <f t="shared" si="8"/>
        <v>91.070029800766051</v>
      </c>
      <c r="T35" s="26">
        <f t="shared" si="9"/>
        <v>0.22721575874230737</v>
      </c>
      <c r="U35" s="48"/>
      <c r="V35" s="38"/>
      <c r="W35" s="38"/>
      <c r="X35" s="38"/>
      <c r="Y35" s="38"/>
      <c r="Z35" s="38"/>
      <c r="AA35" s="38"/>
      <c r="AB35" s="38"/>
      <c r="AC35" s="38"/>
      <c r="AD35" s="1"/>
      <c r="AE35" s="26"/>
      <c r="AN35" s="31"/>
      <c r="AO35" s="31"/>
      <c r="AP35" s="31"/>
      <c r="AQ35" s="31"/>
      <c r="AR35" s="31"/>
      <c r="AS35" s="31"/>
      <c r="AT35" s="40"/>
      <c r="AU35" s="40"/>
      <c r="AV35" s="40"/>
      <c r="AW35" s="4"/>
    </row>
    <row r="36" spans="1:49" x14ac:dyDescent="0.3">
      <c r="A36" s="6">
        <v>15</v>
      </c>
      <c r="B36" s="9">
        <v>11.8</v>
      </c>
      <c r="C36" s="7">
        <v>48</v>
      </c>
      <c r="D36" s="4"/>
      <c r="E36" s="42">
        <v>13.9</v>
      </c>
      <c r="F36" s="54">
        <v>75</v>
      </c>
      <c r="G36" s="1">
        <f t="shared" si="0"/>
        <v>193.21</v>
      </c>
      <c r="H36" s="56">
        <f t="shared" si="1"/>
        <v>5625</v>
      </c>
      <c r="I36" s="26">
        <f t="shared" si="2"/>
        <v>1042.5</v>
      </c>
      <c r="J36" s="63"/>
      <c r="K36" s="42">
        <v>13.9</v>
      </c>
      <c r="L36" s="7">
        <v>75</v>
      </c>
      <c r="M36" s="1">
        <f t="shared" si="3"/>
        <v>193.21</v>
      </c>
      <c r="N36" s="56">
        <f t="shared" si="4"/>
        <v>5625</v>
      </c>
      <c r="O36" s="26">
        <f t="shared" si="5"/>
        <v>1042.5</v>
      </c>
      <c r="P36" s="61"/>
      <c r="Q36" s="2">
        <f t="shared" si="6"/>
        <v>69.335396236944916</v>
      </c>
      <c r="R36" s="56">
        <f t="shared" si="7"/>
        <v>5.6646037630550836</v>
      </c>
      <c r="S36" s="85">
        <f t="shared" si="8"/>
        <v>32.087735792417817</v>
      </c>
      <c r="T36" s="26">
        <f t="shared" si="9"/>
        <v>7.5528050174067787E-2</v>
      </c>
      <c r="U36" s="48"/>
      <c r="V36" s="38"/>
      <c r="W36" s="38"/>
      <c r="X36" s="38"/>
      <c r="Y36" s="38"/>
      <c r="Z36" s="38"/>
      <c r="AA36" s="38"/>
      <c r="AB36" s="38"/>
      <c r="AC36" s="38"/>
      <c r="AD36" s="1"/>
      <c r="AE36" s="26"/>
      <c r="AN36" s="31"/>
      <c r="AO36" s="31"/>
      <c r="AP36" s="31"/>
      <c r="AQ36" s="31"/>
      <c r="AR36" s="31"/>
      <c r="AS36" s="31"/>
      <c r="AT36" s="40"/>
      <c r="AU36" s="40"/>
      <c r="AV36" s="40"/>
      <c r="AW36" s="4"/>
    </row>
    <row r="37" spans="1:49" ht="15" customHeight="1" x14ac:dyDescent="0.3">
      <c r="A37" s="6">
        <v>16</v>
      </c>
      <c r="B37" s="9">
        <v>5.4</v>
      </c>
      <c r="C37" s="7">
        <v>28</v>
      </c>
      <c r="D37" s="4"/>
      <c r="E37" s="42">
        <v>11.8</v>
      </c>
      <c r="F37" s="54">
        <v>48</v>
      </c>
      <c r="G37" s="1">
        <f t="shared" si="0"/>
        <v>139.24</v>
      </c>
      <c r="H37" s="56">
        <f t="shared" si="1"/>
        <v>2304</v>
      </c>
      <c r="I37" s="26">
        <f t="shared" si="2"/>
        <v>566.40000000000009</v>
      </c>
      <c r="J37" s="63"/>
      <c r="K37" s="42">
        <v>11.8</v>
      </c>
      <c r="L37" s="7">
        <v>48</v>
      </c>
      <c r="M37" s="1">
        <f t="shared" si="3"/>
        <v>139.24</v>
      </c>
      <c r="N37" s="56">
        <f t="shared" si="4"/>
        <v>2304</v>
      </c>
      <c r="O37" s="26">
        <f t="shared" si="5"/>
        <v>566.40000000000009</v>
      </c>
      <c r="P37" s="61"/>
      <c r="Q37" s="2">
        <f t="shared" si="6"/>
        <v>59.502790401020498</v>
      </c>
      <c r="R37" s="56">
        <f t="shared" si="7"/>
        <v>11.502790401020498</v>
      </c>
      <c r="S37" s="85">
        <f t="shared" si="8"/>
        <v>132.3141870098093</v>
      </c>
      <c r="T37" s="26">
        <f t="shared" si="9"/>
        <v>0.23964146668792705</v>
      </c>
      <c r="U37" s="48"/>
      <c r="V37" s="38"/>
      <c r="W37" s="38"/>
      <c r="X37" s="38"/>
      <c r="Y37" s="38"/>
      <c r="Z37" s="38"/>
      <c r="AA37" s="38"/>
      <c r="AB37" s="38"/>
      <c r="AC37" s="38"/>
      <c r="AD37" s="1"/>
      <c r="AE37" s="26"/>
      <c r="AN37" s="40"/>
      <c r="AO37" s="40"/>
      <c r="AP37" s="40"/>
      <c r="AQ37" s="40"/>
      <c r="AR37" s="40"/>
      <c r="AS37" s="40"/>
      <c r="AT37" s="40"/>
      <c r="AU37" s="40"/>
      <c r="AV37" s="40"/>
      <c r="AW37" s="4"/>
    </row>
    <row r="38" spans="1:49" ht="15" customHeight="1" x14ac:dyDescent="0.3">
      <c r="A38" s="6">
        <v>17</v>
      </c>
      <c r="B38" s="9">
        <v>4.8</v>
      </c>
      <c r="C38" s="7">
        <v>25</v>
      </c>
      <c r="D38" s="4"/>
      <c r="E38" s="42">
        <v>5.4</v>
      </c>
      <c r="F38" s="54">
        <v>28</v>
      </c>
      <c r="G38" s="1">
        <f t="shared" si="0"/>
        <v>29.160000000000004</v>
      </c>
      <c r="H38" s="56">
        <f t="shared" si="1"/>
        <v>784</v>
      </c>
      <c r="I38" s="26">
        <f t="shared" si="2"/>
        <v>151.20000000000002</v>
      </c>
      <c r="J38" s="64"/>
      <c r="K38" s="42">
        <v>5.4</v>
      </c>
      <c r="L38" s="7">
        <v>28</v>
      </c>
      <c r="M38" s="1">
        <f t="shared" si="3"/>
        <v>29.160000000000004</v>
      </c>
      <c r="N38" s="56">
        <f t="shared" si="4"/>
        <v>784</v>
      </c>
      <c r="O38" s="26">
        <f t="shared" si="5"/>
        <v>151.20000000000002</v>
      </c>
      <c r="P38" s="61"/>
      <c r="Q38" s="2">
        <f t="shared" si="6"/>
        <v>29.536753567727022</v>
      </c>
      <c r="R38" s="56">
        <f t="shared" si="7"/>
        <v>1.5367535677270219</v>
      </c>
      <c r="S38" s="85">
        <f t="shared" si="8"/>
        <v>2.3616115279217302</v>
      </c>
      <c r="T38" s="26">
        <f t="shared" si="9"/>
        <v>5.4884055990250778E-2</v>
      </c>
      <c r="U38" s="48"/>
      <c r="V38" s="38"/>
      <c r="W38" s="38"/>
      <c r="X38" s="38"/>
      <c r="Y38" s="38"/>
      <c r="Z38" s="38"/>
      <c r="AA38" s="38"/>
      <c r="AB38" s="38"/>
      <c r="AC38" s="38"/>
      <c r="AD38" s="1"/>
      <c r="AE38" s="26"/>
      <c r="AN38" s="41"/>
      <c r="AO38" s="41"/>
      <c r="AP38" s="41"/>
      <c r="AQ38" s="41"/>
      <c r="AR38" s="41"/>
      <c r="AS38" s="41"/>
      <c r="AT38" s="41"/>
      <c r="AU38" s="41"/>
      <c r="AV38" s="41"/>
      <c r="AW38" s="4"/>
    </row>
    <row r="39" spans="1:49" x14ac:dyDescent="0.3">
      <c r="A39" s="6">
        <v>18</v>
      </c>
      <c r="B39" s="9">
        <v>10.4</v>
      </c>
      <c r="C39" s="7">
        <v>53</v>
      </c>
      <c r="D39" s="4"/>
      <c r="E39" s="42">
        <v>4.8</v>
      </c>
      <c r="F39" s="54">
        <v>25</v>
      </c>
      <c r="G39" s="1">
        <f t="shared" si="0"/>
        <v>23.04</v>
      </c>
      <c r="H39" s="56">
        <f t="shared" si="1"/>
        <v>625</v>
      </c>
      <c r="I39" s="26">
        <f t="shared" si="2"/>
        <v>120</v>
      </c>
      <c r="J39" s="65"/>
      <c r="K39" s="42">
        <v>4.8</v>
      </c>
      <c r="L39" s="7">
        <v>25</v>
      </c>
      <c r="M39" s="1">
        <f t="shared" si="3"/>
        <v>23.04</v>
      </c>
      <c r="N39" s="56">
        <f t="shared" si="4"/>
        <v>625</v>
      </c>
      <c r="O39" s="26">
        <f t="shared" si="5"/>
        <v>120</v>
      </c>
      <c r="P39" s="61"/>
      <c r="Q39" s="2">
        <f t="shared" si="6"/>
        <v>26.727437614605755</v>
      </c>
      <c r="R39" s="56">
        <f t="shared" si="7"/>
        <v>1.7274376146057548</v>
      </c>
      <c r="S39" s="85">
        <f t="shared" si="8"/>
        <v>2.9840407123548203</v>
      </c>
      <c r="T39" s="26">
        <f t="shared" si="9"/>
        <v>6.9097504584230196E-2</v>
      </c>
      <c r="U39" s="48"/>
      <c r="V39" s="38"/>
      <c r="W39" s="38"/>
      <c r="X39" s="38"/>
      <c r="Y39" s="38"/>
      <c r="Z39" s="38"/>
      <c r="AA39" s="38"/>
      <c r="AB39" s="38"/>
      <c r="AC39" s="38"/>
      <c r="AD39" s="1"/>
      <c r="AE39" s="26"/>
      <c r="AN39" s="31"/>
      <c r="AO39" s="31"/>
      <c r="AP39" s="31"/>
      <c r="AQ39" s="31"/>
      <c r="AR39" s="31"/>
      <c r="AS39" s="31"/>
      <c r="AT39" s="31"/>
      <c r="AU39" s="31"/>
      <c r="AV39" s="31"/>
      <c r="AW39" s="4"/>
    </row>
    <row r="40" spans="1:49" x14ac:dyDescent="0.3">
      <c r="A40" s="6">
        <v>19</v>
      </c>
      <c r="B40" s="9">
        <v>10.3</v>
      </c>
      <c r="C40" s="7">
        <v>60</v>
      </c>
      <c r="D40" s="4"/>
      <c r="E40" s="42">
        <v>10.4</v>
      </c>
      <c r="F40" s="54">
        <v>53</v>
      </c>
      <c r="G40" s="1">
        <f t="shared" si="0"/>
        <v>108.16000000000001</v>
      </c>
      <c r="H40" s="56">
        <f t="shared" si="1"/>
        <v>2809</v>
      </c>
      <c r="I40" s="26">
        <f t="shared" si="2"/>
        <v>551.20000000000005</v>
      </c>
      <c r="J40" s="65"/>
      <c r="K40" s="42">
        <v>10.4</v>
      </c>
      <c r="L40" s="7">
        <v>53</v>
      </c>
      <c r="M40" s="1">
        <f t="shared" si="3"/>
        <v>108.16000000000001</v>
      </c>
      <c r="N40" s="56">
        <f t="shared" si="4"/>
        <v>2809</v>
      </c>
      <c r="O40" s="26">
        <f t="shared" si="5"/>
        <v>551.20000000000005</v>
      </c>
      <c r="P40" s="61"/>
      <c r="Q40" s="2">
        <f t="shared" si="6"/>
        <v>52.947719843737545</v>
      </c>
      <c r="R40" s="56">
        <f t="shared" si="7"/>
        <v>5.228015626245508E-2</v>
      </c>
      <c r="S40" s="85">
        <f t="shared" si="8"/>
        <v>2.733214738826721E-3</v>
      </c>
      <c r="T40" s="26">
        <f t="shared" si="9"/>
        <v>9.8641804268783176E-4</v>
      </c>
      <c r="U40" s="48"/>
      <c r="V40" s="38"/>
      <c r="W40" s="38"/>
      <c r="X40" s="38"/>
      <c r="Y40" s="38"/>
      <c r="Z40" s="38"/>
      <c r="AA40" s="38"/>
      <c r="AB40" s="38"/>
      <c r="AC40" s="38"/>
      <c r="AD40" s="1"/>
      <c r="AE40" s="26"/>
      <c r="AN40" s="31"/>
      <c r="AO40" s="31"/>
      <c r="AP40" s="31"/>
      <c r="AQ40" s="31"/>
      <c r="AR40" s="31"/>
      <c r="AS40" s="31"/>
      <c r="AT40" s="31"/>
      <c r="AU40" s="31"/>
      <c r="AV40" s="31"/>
      <c r="AW40" s="4"/>
    </row>
    <row r="41" spans="1:49" x14ac:dyDescent="0.3">
      <c r="A41" s="6">
        <v>20</v>
      </c>
      <c r="B41" s="9">
        <v>3.7</v>
      </c>
      <c r="C41" s="7">
        <v>29</v>
      </c>
      <c r="D41" s="4"/>
      <c r="E41" s="42">
        <v>10.3</v>
      </c>
      <c r="F41" s="54">
        <v>60</v>
      </c>
      <c r="G41" s="1">
        <f t="shared" si="0"/>
        <v>106.09000000000002</v>
      </c>
      <c r="H41" s="56">
        <f t="shared" si="1"/>
        <v>3600</v>
      </c>
      <c r="I41" s="26">
        <f t="shared" si="2"/>
        <v>618</v>
      </c>
      <c r="J41" s="65"/>
      <c r="K41" s="42">
        <v>10.3</v>
      </c>
      <c r="L41" s="7">
        <v>60</v>
      </c>
      <c r="M41" s="1">
        <f t="shared" si="3"/>
        <v>106.09000000000002</v>
      </c>
      <c r="N41" s="56">
        <f t="shared" si="4"/>
        <v>3600</v>
      </c>
      <c r="O41" s="26">
        <f t="shared" si="5"/>
        <v>618</v>
      </c>
      <c r="P41" s="61"/>
      <c r="Q41" s="2">
        <f t="shared" si="6"/>
        <v>52.479500518217336</v>
      </c>
      <c r="R41" s="56">
        <f t="shared" si="7"/>
        <v>7.5204994817826645</v>
      </c>
      <c r="S41" s="85">
        <f t="shared" si="8"/>
        <v>56.557912455493323</v>
      </c>
      <c r="T41" s="26">
        <f t="shared" si="9"/>
        <v>0.12534165802971106</v>
      </c>
      <c r="U41" s="48"/>
      <c r="V41" s="38"/>
      <c r="W41" s="38"/>
      <c r="X41" s="38"/>
      <c r="Y41" s="38"/>
      <c r="Z41" s="38"/>
      <c r="AA41" s="38"/>
      <c r="AB41" s="38"/>
      <c r="AC41" s="38"/>
      <c r="AD41" s="1"/>
      <c r="AE41" s="26"/>
      <c r="AN41" s="40"/>
      <c r="AO41" s="40"/>
      <c r="AP41" s="40"/>
      <c r="AQ41" s="40"/>
      <c r="AR41" s="40"/>
      <c r="AS41" s="40"/>
      <c r="AT41" s="40"/>
      <c r="AU41" s="40"/>
      <c r="AV41" s="40"/>
      <c r="AW41" s="4"/>
    </row>
    <row r="42" spans="1:49" x14ac:dyDescent="0.3">
      <c r="A42" s="6">
        <v>21</v>
      </c>
      <c r="B42" s="9">
        <v>10.3</v>
      </c>
      <c r="C42" s="7">
        <v>60</v>
      </c>
      <c r="D42" s="4"/>
      <c r="E42" s="42">
        <v>3.7</v>
      </c>
      <c r="F42" s="54">
        <v>29</v>
      </c>
      <c r="G42" s="1">
        <f t="shared" si="0"/>
        <v>13.690000000000001</v>
      </c>
      <c r="H42" s="56">
        <f t="shared" si="1"/>
        <v>841</v>
      </c>
      <c r="I42" s="26">
        <f t="shared" si="2"/>
        <v>107.30000000000001</v>
      </c>
      <c r="J42" s="63"/>
      <c r="K42" s="42">
        <v>3.7</v>
      </c>
      <c r="L42" s="7">
        <v>29</v>
      </c>
      <c r="M42" s="1">
        <f t="shared" si="3"/>
        <v>13.690000000000001</v>
      </c>
      <c r="N42" s="56">
        <f t="shared" si="4"/>
        <v>841</v>
      </c>
      <c r="O42" s="26">
        <f t="shared" si="5"/>
        <v>107.30000000000001</v>
      </c>
      <c r="P42" s="61"/>
      <c r="Q42" s="2">
        <f t="shared" si="6"/>
        <v>21.577025033883441</v>
      </c>
      <c r="R42" s="56">
        <f t="shared" si="7"/>
        <v>7.4229749661165592</v>
      </c>
      <c r="S42" s="85">
        <f t="shared" si="8"/>
        <v>55.100557347593131</v>
      </c>
      <c r="T42" s="26">
        <f t="shared" si="9"/>
        <v>0.2559646540040193</v>
      </c>
      <c r="U42" s="48"/>
      <c r="V42" s="38"/>
      <c r="W42" s="38"/>
      <c r="X42" s="38"/>
      <c r="Y42" s="38"/>
      <c r="Z42" s="38"/>
      <c r="AA42" s="38"/>
      <c r="AB42" s="38"/>
      <c r="AC42" s="38"/>
      <c r="AD42" s="1"/>
      <c r="AE42" s="26"/>
      <c r="AN42" s="40"/>
      <c r="AO42" s="40"/>
      <c r="AP42" s="40"/>
      <c r="AQ42" s="40"/>
      <c r="AR42" s="40"/>
      <c r="AS42" s="40"/>
      <c r="AT42" s="40"/>
      <c r="AU42" s="40"/>
      <c r="AV42" s="40"/>
      <c r="AW42" s="4"/>
    </row>
    <row r="43" spans="1:49" x14ac:dyDescent="0.3">
      <c r="A43" s="6">
        <v>22</v>
      </c>
      <c r="B43" s="9">
        <v>11</v>
      </c>
      <c r="C43" s="7">
        <v>55</v>
      </c>
      <c r="D43" s="4"/>
      <c r="E43" s="42">
        <v>10.3</v>
      </c>
      <c r="F43" s="54">
        <v>60</v>
      </c>
      <c r="G43" s="1">
        <f t="shared" si="0"/>
        <v>106.09000000000002</v>
      </c>
      <c r="H43" s="56">
        <f t="shared" si="1"/>
        <v>3600</v>
      </c>
      <c r="I43" s="26">
        <f t="shared" si="2"/>
        <v>618</v>
      </c>
      <c r="J43" s="64"/>
      <c r="K43" s="42">
        <v>10.3</v>
      </c>
      <c r="L43" s="7">
        <v>60</v>
      </c>
      <c r="M43" s="1">
        <f t="shared" si="3"/>
        <v>106.09000000000002</v>
      </c>
      <c r="N43" s="56">
        <f t="shared" si="4"/>
        <v>3600</v>
      </c>
      <c r="O43" s="26">
        <f t="shared" si="5"/>
        <v>618</v>
      </c>
      <c r="P43" s="61"/>
      <c r="Q43" s="2">
        <f t="shared" si="6"/>
        <v>52.479500518217336</v>
      </c>
      <c r="R43" s="56">
        <f t="shared" si="7"/>
        <v>7.5204994817826645</v>
      </c>
      <c r="S43" s="85">
        <f t="shared" si="8"/>
        <v>56.557912455493323</v>
      </c>
      <c r="T43" s="26">
        <f t="shared" si="9"/>
        <v>0.12534165802971106</v>
      </c>
      <c r="U43" s="48"/>
      <c r="V43" s="38"/>
      <c r="W43" s="38"/>
      <c r="X43" s="38"/>
      <c r="Y43" s="38"/>
      <c r="Z43" s="38"/>
      <c r="AA43" s="38"/>
      <c r="AB43" s="38"/>
      <c r="AC43" s="38"/>
      <c r="AD43" s="1"/>
      <c r="AE43" s="26"/>
      <c r="AN43" s="40"/>
      <c r="AO43" s="40"/>
      <c r="AP43" s="40"/>
      <c r="AQ43" s="40"/>
      <c r="AR43" s="40"/>
      <c r="AS43" s="40"/>
      <c r="AT43" s="40"/>
      <c r="AU43" s="40"/>
      <c r="AV43" s="40"/>
      <c r="AW43" s="4"/>
    </row>
    <row r="44" spans="1:49" x14ac:dyDescent="0.3">
      <c r="A44" s="6">
        <v>23</v>
      </c>
      <c r="B44" s="9">
        <v>14.7</v>
      </c>
      <c r="C44" s="7">
        <v>79</v>
      </c>
      <c r="D44" s="4"/>
      <c r="E44" s="42">
        <v>11</v>
      </c>
      <c r="F44" s="54">
        <v>55</v>
      </c>
      <c r="G44" s="1">
        <f t="shared" si="0"/>
        <v>121</v>
      </c>
      <c r="H44" s="56">
        <f t="shared" si="1"/>
        <v>3025</v>
      </c>
      <c r="I44" s="26">
        <f t="shared" si="2"/>
        <v>605</v>
      </c>
      <c r="J44" s="65"/>
      <c r="K44" s="42">
        <v>11</v>
      </c>
      <c r="L44" s="7">
        <v>55</v>
      </c>
      <c r="M44" s="1">
        <f t="shared" si="3"/>
        <v>121</v>
      </c>
      <c r="N44" s="56">
        <f t="shared" si="4"/>
        <v>3025</v>
      </c>
      <c r="O44" s="26">
        <f t="shared" si="5"/>
        <v>605</v>
      </c>
      <c r="P44" s="61"/>
      <c r="Q44" s="2">
        <f t="shared" si="6"/>
        <v>55.757035796858808</v>
      </c>
      <c r="R44" s="56">
        <f t="shared" si="7"/>
        <v>0.7570357968588084</v>
      </c>
      <c r="S44" s="85">
        <f t="shared" si="8"/>
        <v>0.57310319772565099</v>
      </c>
      <c r="T44" s="26">
        <f t="shared" si="9"/>
        <v>1.3764287215614698E-2</v>
      </c>
      <c r="U44" s="48"/>
      <c r="V44" s="38"/>
      <c r="W44" s="38"/>
      <c r="X44" s="38"/>
      <c r="Y44" s="38"/>
      <c r="Z44" s="38"/>
      <c r="AA44" s="38"/>
      <c r="AB44" s="38"/>
      <c r="AC44" s="38"/>
      <c r="AD44" s="1"/>
      <c r="AE44" s="26"/>
      <c r="AN44" s="40"/>
      <c r="AO44" s="40"/>
      <c r="AP44" s="40"/>
      <c r="AQ44" s="40"/>
      <c r="AR44" s="40"/>
      <c r="AS44" s="40"/>
      <c r="AT44" s="40"/>
      <c r="AU44" s="40"/>
      <c r="AV44" s="40"/>
      <c r="AW44" s="4"/>
    </row>
    <row r="45" spans="1:49" ht="15" thickBot="1" x14ac:dyDescent="0.35">
      <c r="A45" s="70">
        <v>24</v>
      </c>
      <c r="B45" s="5">
        <v>3.1</v>
      </c>
      <c r="C45" s="8">
        <v>27</v>
      </c>
      <c r="D45" s="4"/>
      <c r="E45" s="42">
        <v>14.7</v>
      </c>
      <c r="F45" s="54">
        <v>79</v>
      </c>
      <c r="G45" s="1">
        <f t="shared" si="0"/>
        <v>216.08999999999997</v>
      </c>
      <c r="H45" s="56">
        <f t="shared" si="1"/>
        <v>6241</v>
      </c>
      <c r="I45" s="26">
        <f t="shared" si="2"/>
        <v>1161.3</v>
      </c>
      <c r="J45" s="65"/>
      <c r="K45" s="42">
        <v>14.7</v>
      </c>
      <c r="L45" s="7">
        <v>79</v>
      </c>
      <c r="M45" s="1">
        <f t="shared" si="3"/>
        <v>216.08999999999997</v>
      </c>
      <c r="N45" s="56">
        <f t="shared" si="4"/>
        <v>6241</v>
      </c>
      <c r="O45" s="26">
        <f t="shared" si="5"/>
        <v>1161.3</v>
      </c>
      <c r="P45" s="61"/>
      <c r="Q45" s="2">
        <f t="shared" si="6"/>
        <v>73.081150841106606</v>
      </c>
      <c r="R45" s="56">
        <f t="shared" si="7"/>
        <v>5.9188491588933942</v>
      </c>
      <c r="S45" s="85">
        <f t="shared" si="8"/>
        <v>35.032775365733038</v>
      </c>
      <c r="T45" s="26">
        <f t="shared" si="9"/>
        <v>7.4922141251815122E-2</v>
      </c>
      <c r="U45" s="48"/>
      <c r="V45" s="38"/>
      <c r="W45" s="38"/>
      <c r="X45" s="38"/>
      <c r="Y45" s="38"/>
      <c r="Z45" s="38"/>
      <c r="AA45" s="38"/>
      <c r="AB45" s="38"/>
      <c r="AC45" s="38"/>
      <c r="AD45" s="1"/>
      <c r="AE45" s="26"/>
      <c r="AN45" s="40"/>
      <c r="AO45" s="40"/>
      <c r="AP45" s="40"/>
      <c r="AQ45" s="40"/>
      <c r="AR45" s="40"/>
      <c r="AS45" s="40"/>
      <c r="AT45" s="40"/>
      <c r="AU45" s="40"/>
      <c r="AV45" s="40"/>
      <c r="AW45" s="4"/>
    </row>
    <row r="46" spans="1:49" ht="15" thickBot="1" x14ac:dyDescent="0.35">
      <c r="D46" s="4"/>
      <c r="E46" s="44">
        <v>3.1</v>
      </c>
      <c r="F46" s="59">
        <v>27</v>
      </c>
      <c r="G46" s="28">
        <f t="shared" si="0"/>
        <v>9.6100000000000012</v>
      </c>
      <c r="H46" s="60">
        <f t="shared" si="1"/>
        <v>729</v>
      </c>
      <c r="I46" s="29">
        <f t="shared" si="2"/>
        <v>83.7</v>
      </c>
      <c r="J46" s="63"/>
      <c r="K46" s="44">
        <v>4.0999999999999996</v>
      </c>
      <c r="L46" s="8">
        <v>28</v>
      </c>
      <c r="M46" s="28">
        <f t="shared" si="3"/>
        <v>16.809999999999999</v>
      </c>
      <c r="N46" s="60">
        <f t="shared" si="4"/>
        <v>784</v>
      </c>
      <c r="O46" s="29">
        <f t="shared" si="5"/>
        <v>114.79999999999998</v>
      </c>
      <c r="P46" s="61"/>
      <c r="Q46" s="66">
        <f t="shared" si="6"/>
        <v>23.449902335964282</v>
      </c>
      <c r="R46" s="94">
        <f t="shared" si="7"/>
        <v>4.550097664035718</v>
      </c>
      <c r="S46" s="95">
        <f t="shared" si="8"/>
        <v>20.703388752263297</v>
      </c>
      <c r="T46" s="96">
        <f t="shared" si="9"/>
        <v>0.16250348800127565</v>
      </c>
      <c r="U46" s="48"/>
      <c r="V46" s="38"/>
      <c r="W46" s="38"/>
      <c r="X46" s="38"/>
      <c r="Y46" s="38"/>
      <c r="Z46" s="38"/>
      <c r="AA46" s="38"/>
      <c r="AB46" s="38"/>
      <c r="AC46" s="38"/>
      <c r="AD46" s="1"/>
      <c r="AE46" s="26"/>
      <c r="AN46" s="41"/>
      <c r="AO46" s="41"/>
      <c r="AP46" s="41"/>
      <c r="AQ46" s="40"/>
      <c r="AR46" s="40"/>
      <c r="AS46" s="40"/>
      <c r="AT46" s="40"/>
      <c r="AU46" s="40"/>
      <c r="AV46" s="40"/>
      <c r="AW46" s="4"/>
    </row>
    <row r="47" spans="1:49" ht="15" thickBot="1" x14ac:dyDescent="0.35">
      <c r="D47" s="83" t="s">
        <v>46</v>
      </c>
      <c r="E47" s="71">
        <f>SUM(E23:E46)</f>
        <v>200.6</v>
      </c>
      <c r="F47" s="72">
        <f>SUM(F23:F46)</f>
        <v>1045</v>
      </c>
      <c r="G47" s="71">
        <f>SUM(G23:G46)</f>
        <v>2020.7199999999998</v>
      </c>
      <c r="H47" s="72">
        <f>SUM(H23:H46)</f>
        <v>53571</v>
      </c>
      <c r="I47" s="73">
        <f>SUM(I23:I46)</f>
        <v>10321.400000000001</v>
      </c>
      <c r="J47" s="73"/>
      <c r="K47" s="73">
        <f>SUM(K23:K46)</f>
        <v>201.6</v>
      </c>
      <c r="L47" s="74">
        <f>SUM(L23:L46)</f>
        <v>1046</v>
      </c>
      <c r="M47" s="73">
        <f>SUM(M23:M46)</f>
        <v>2027.9199999999998</v>
      </c>
      <c r="N47" s="74">
        <f>SUM(N23:N46)</f>
        <v>53626</v>
      </c>
      <c r="O47" s="73">
        <f>SUM(O23:O46)</f>
        <v>10352.5</v>
      </c>
      <c r="P47" s="88"/>
      <c r="Q47" s="71">
        <f t="shared" ref="Q47:T47" si="10">SUM(Q23:Q46)</f>
        <v>1046.0000000000002</v>
      </c>
      <c r="R47" s="97">
        <f t="shared" si="10"/>
        <v>107.67515745834329</v>
      </c>
      <c r="S47" s="97">
        <f t="shared" si="10"/>
        <v>705.05047636131724</v>
      </c>
      <c r="T47" s="98">
        <f t="shared" si="10"/>
        <v>2.6608707805446836</v>
      </c>
      <c r="U47" s="48"/>
      <c r="V47" s="38"/>
      <c r="W47" s="38"/>
      <c r="X47" s="38"/>
      <c r="Y47" s="38"/>
      <c r="Z47" s="38"/>
      <c r="AA47" s="38"/>
      <c r="AB47" s="38"/>
      <c r="AC47" s="38"/>
      <c r="AD47" s="1"/>
      <c r="AE47" s="26"/>
      <c r="AN47" s="31"/>
      <c r="AO47" s="31"/>
      <c r="AP47" s="31"/>
      <c r="AQ47"/>
      <c r="AR47"/>
      <c r="AS47"/>
      <c r="AT47"/>
      <c r="AU47"/>
      <c r="AV47"/>
    </row>
    <row r="48" spans="1:49" ht="15" thickBot="1" x14ac:dyDescent="0.35">
      <c r="D48" s="82" t="s">
        <v>47</v>
      </c>
      <c r="E48" s="75">
        <f>AVERAGE(E23:E46)</f>
        <v>8.3583333333333325</v>
      </c>
      <c r="F48" s="75">
        <f t="shared" ref="F48:T48" si="11">AVERAGE(F23:F46)</f>
        <v>43.541666666666664</v>
      </c>
      <c r="G48" s="75">
        <f t="shared" si="11"/>
        <v>84.196666666666658</v>
      </c>
      <c r="H48" s="75">
        <f t="shared" si="11"/>
        <v>2232.125</v>
      </c>
      <c r="I48" s="76">
        <f t="shared" si="11"/>
        <v>430.05833333333339</v>
      </c>
      <c r="J48" s="76"/>
      <c r="K48" s="76">
        <f t="shared" si="11"/>
        <v>8.4</v>
      </c>
      <c r="L48" s="76">
        <f t="shared" si="11"/>
        <v>43.583333333333336</v>
      </c>
      <c r="M48" s="76">
        <f t="shared" si="11"/>
        <v>84.496666666666655</v>
      </c>
      <c r="N48" s="76">
        <f t="shared" si="11"/>
        <v>2234.4166666666665</v>
      </c>
      <c r="O48" s="76">
        <f t="shared" si="11"/>
        <v>431.35416666666669</v>
      </c>
      <c r="P48" s="89"/>
      <c r="Q48" s="75">
        <f t="shared" si="11"/>
        <v>43.583333333333343</v>
      </c>
      <c r="R48" s="92">
        <f t="shared" si="11"/>
        <v>4.4864648940976375</v>
      </c>
      <c r="S48" s="92">
        <f t="shared" si="11"/>
        <v>29.377103181721552</v>
      </c>
      <c r="T48" s="93">
        <f t="shared" si="11"/>
        <v>0.11086961585602849</v>
      </c>
      <c r="U48" s="48"/>
      <c r="V48" s="38"/>
      <c r="W48" s="38"/>
      <c r="X48" s="38"/>
      <c r="Y48" s="38"/>
      <c r="Z48" s="38"/>
      <c r="AA48" s="38"/>
      <c r="AB48" s="38"/>
      <c r="AC48" s="38"/>
      <c r="AD48" s="1"/>
      <c r="AE48" s="26"/>
      <c r="AN48" s="31"/>
      <c r="AO48" s="31"/>
      <c r="AP48" s="31"/>
      <c r="AQ48"/>
      <c r="AR48"/>
      <c r="AS48"/>
      <c r="AT48"/>
      <c r="AU48"/>
      <c r="AV48"/>
    </row>
    <row r="49" spans="4:48" x14ac:dyDescent="0.3">
      <c r="D49" s="4"/>
      <c r="E49" s="52"/>
      <c r="F49" s="35"/>
      <c r="G49" s="53"/>
      <c r="H49" s="53"/>
      <c r="I49" s="53"/>
      <c r="J49" s="32"/>
      <c r="K49" s="32"/>
      <c r="L49" s="32"/>
      <c r="M49" s="32"/>
      <c r="N49" s="32"/>
      <c r="O49" s="32"/>
      <c r="P49" s="1"/>
      <c r="Q49" s="35"/>
      <c r="R49" s="35"/>
      <c r="S49" s="35"/>
      <c r="T49" s="35"/>
      <c r="U49" s="38"/>
      <c r="V49" s="38"/>
      <c r="W49" s="38"/>
      <c r="X49" s="38"/>
      <c r="Y49" s="38"/>
      <c r="Z49" s="38"/>
      <c r="AA49" s="38"/>
      <c r="AB49" s="38"/>
      <c r="AC49" s="38"/>
      <c r="AD49" s="1"/>
      <c r="AE49" s="26"/>
      <c r="AN49" s="31"/>
      <c r="AO49" s="31"/>
      <c r="AP49" s="31"/>
      <c r="AQ49"/>
      <c r="AR49"/>
      <c r="AS49"/>
      <c r="AT49"/>
      <c r="AU49"/>
      <c r="AV49"/>
    </row>
    <row r="50" spans="4:48" ht="15" thickBot="1" x14ac:dyDescent="0.35">
      <c r="D50" s="4"/>
      <c r="E50" s="66"/>
      <c r="F50" s="67"/>
      <c r="G50" s="68"/>
      <c r="H50" s="32"/>
      <c r="I50" s="32"/>
      <c r="J50" s="32"/>
      <c r="K50" s="68"/>
      <c r="L50" s="68"/>
      <c r="M50" s="68"/>
      <c r="N50" s="32"/>
      <c r="O50" s="32"/>
      <c r="P50" s="1"/>
      <c r="Q50" s="211" t="s">
        <v>72</v>
      </c>
      <c r="R50" s="274"/>
      <c r="S50" s="274"/>
      <c r="T50" s="212"/>
      <c r="U50" s="38"/>
      <c r="V50" s="38"/>
      <c r="W50" s="38"/>
      <c r="X50" s="38"/>
      <c r="Y50" s="38"/>
      <c r="Z50" s="38"/>
      <c r="AA50" s="38"/>
      <c r="AB50" s="38"/>
      <c r="AC50" s="38"/>
      <c r="AD50" s="1"/>
      <c r="AE50" s="26"/>
      <c r="AN50" s="31"/>
      <c r="AO50" s="31"/>
      <c r="AP50" s="31"/>
      <c r="AQ50"/>
      <c r="AR50"/>
      <c r="AS50"/>
      <c r="AT50"/>
      <c r="AU50"/>
      <c r="AV50"/>
    </row>
    <row r="51" spans="4:48" ht="18" x14ac:dyDescent="0.4">
      <c r="D51" s="4"/>
      <c r="E51" s="229" t="s">
        <v>55</v>
      </c>
      <c r="F51" s="230"/>
      <c r="G51" s="77">
        <f>I47-((E47*F47)/G54)</f>
        <v>1586.9416666666675</v>
      </c>
      <c r="H51" s="50"/>
      <c r="I51" s="37"/>
      <c r="J51" s="86"/>
      <c r="K51" s="221" t="s">
        <v>55</v>
      </c>
      <c r="L51" s="222"/>
      <c r="M51" s="77">
        <f>O47-((K47*L47)/M54)</f>
        <v>1566.1000000000004</v>
      </c>
      <c r="N51" s="49"/>
      <c r="O51" s="32"/>
      <c r="P51" s="1"/>
      <c r="Q51" s="201" t="s">
        <v>68</v>
      </c>
      <c r="R51" s="202"/>
      <c r="S51" s="109" t="s">
        <v>70</v>
      </c>
      <c r="T51" s="109">
        <f>M55-R53*SQRT(M58/M52)</f>
        <v>3.905779598758484</v>
      </c>
      <c r="U51" s="38"/>
      <c r="V51" s="38"/>
      <c r="W51" s="38"/>
      <c r="X51" s="38"/>
      <c r="Y51" s="38"/>
      <c r="Z51" s="38"/>
      <c r="AA51" s="38"/>
      <c r="AB51" s="38"/>
      <c r="AC51" s="38"/>
      <c r="AD51" s="1"/>
      <c r="AE51" s="26"/>
      <c r="AN51" s="31"/>
      <c r="AO51" s="31"/>
      <c r="AP51" s="31"/>
      <c r="AQ51"/>
      <c r="AR51"/>
      <c r="AS51"/>
      <c r="AT51"/>
      <c r="AU51"/>
      <c r="AV51"/>
    </row>
    <row r="52" spans="4:48" ht="18.600000000000001" x14ac:dyDescent="0.4">
      <c r="D52" s="4"/>
      <c r="E52" s="231" t="s">
        <v>51</v>
      </c>
      <c r="F52" s="204"/>
      <c r="G52" s="78">
        <f>G47-(E47^2/G54)</f>
        <v>344.03833333333318</v>
      </c>
      <c r="H52" s="51"/>
      <c r="I52" s="36"/>
      <c r="J52" s="86"/>
      <c r="K52" s="223" t="s">
        <v>51</v>
      </c>
      <c r="L52" s="224"/>
      <c r="M52" s="78">
        <f>M47-(K47^2/M54)</f>
        <v>334.48</v>
      </c>
      <c r="N52" s="49"/>
      <c r="O52" s="32"/>
      <c r="P52" s="1"/>
      <c r="Q52" s="203" t="s">
        <v>67</v>
      </c>
      <c r="R52" s="204"/>
      <c r="S52" s="109" t="s">
        <v>71</v>
      </c>
      <c r="T52" s="109">
        <f>M55+R53*SQRT(M58/M52)</f>
        <v>5.4586069116457265</v>
      </c>
      <c r="U52" s="38"/>
      <c r="V52" s="38"/>
      <c r="W52" s="38"/>
      <c r="X52" s="38"/>
      <c r="Y52" s="38"/>
      <c r="Z52" s="38"/>
      <c r="AA52" s="38"/>
      <c r="AB52" s="38"/>
      <c r="AC52" s="38"/>
      <c r="AD52" s="1"/>
      <c r="AE52" s="26"/>
      <c r="AN52" s="31"/>
      <c r="AO52" s="31"/>
      <c r="AP52" s="31"/>
      <c r="AQ52"/>
      <c r="AR52"/>
      <c r="AS52"/>
      <c r="AT52"/>
      <c r="AU52"/>
      <c r="AV52"/>
    </row>
    <row r="53" spans="4:48" ht="18.600000000000001" x14ac:dyDescent="0.4">
      <c r="D53" s="4"/>
      <c r="E53" s="231" t="s">
        <v>52</v>
      </c>
      <c r="F53" s="204"/>
      <c r="G53" s="79">
        <f>H47-(F47^2/G54)</f>
        <v>8069.9583333333358</v>
      </c>
      <c r="H53" s="51"/>
      <c r="I53" s="36"/>
      <c r="J53" s="86"/>
      <c r="K53" s="223" t="s">
        <v>52</v>
      </c>
      <c r="L53" s="224"/>
      <c r="M53" s="79">
        <f>N47-(L47^2/M54)</f>
        <v>8037.8333333333358</v>
      </c>
      <c r="N53" s="49"/>
      <c r="O53" s="32"/>
      <c r="P53" s="1"/>
      <c r="Q53" s="205" t="s">
        <v>69</v>
      </c>
      <c r="R53" s="207">
        <v>2.5083000000000002</v>
      </c>
      <c r="S53" s="268"/>
      <c r="T53" s="269"/>
      <c r="U53" s="38"/>
      <c r="V53" s="38"/>
      <c r="W53" s="38"/>
      <c r="X53" s="38"/>
      <c r="Y53" s="38"/>
      <c r="Z53" s="38"/>
      <c r="AA53" s="38"/>
      <c r="AB53" s="38"/>
      <c r="AC53" s="38"/>
      <c r="AD53" s="1"/>
      <c r="AE53" s="26"/>
      <c r="AN53" s="31"/>
      <c r="AO53" s="31"/>
      <c r="AP53" s="31"/>
      <c r="AQ53"/>
      <c r="AR53"/>
      <c r="AS53"/>
      <c r="AT53"/>
      <c r="AU53"/>
      <c r="AV53"/>
    </row>
    <row r="54" spans="4:48" ht="15.6" x14ac:dyDescent="0.3">
      <c r="D54" s="4"/>
      <c r="E54" s="231" t="s">
        <v>50</v>
      </c>
      <c r="F54" s="204"/>
      <c r="G54" s="79">
        <v>24</v>
      </c>
      <c r="H54" s="51"/>
      <c r="I54" s="36"/>
      <c r="J54" s="86"/>
      <c r="K54" s="223" t="s">
        <v>50</v>
      </c>
      <c r="L54" s="224"/>
      <c r="M54" s="79">
        <v>24</v>
      </c>
      <c r="N54" s="49"/>
      <c r="O54" s="32"/>
      <c r="P54" s="1"/>
      <c r="Q54" s="206"/>
      <c r="R54" s="208"/>
      <c r="S54" s="270"/>
      <c r="T54" s="271"/>
      <c r="U54" s="38"/>
      <c r="V54" s="38"/>
      <c r="W54" s="38"/>
      <c r="X54" s="38"/>
      <c r="Y54" s="38"/>
      <c r="Z54" s="38"/>
      <c r="AA54" s="38"/>
      <c r="AB54" s="38"/>
      <c r="AC54" s="38"/>
      <c r="AD54" s="1"/>
      <c r="AE54" s="26"/>
      <c r="AN54" s="31"/>
      <c r="AO54" s="31"/>
      <c r="AP54" s="31"/>
      <c r="AQ54"/>
      <c r="AR54"/>
      <c r="AS54"/>
      <c r="AT54"/>
      <c r="AU54"/>
      <c r="AV54"/>
    </row>
    <row r="55" spans="4:48" ht="18" x14ac:dyDescent="0.4">
      <c r="D55" s="4"/>
      <c r="E55" s="225" t="s">
        <v>53</v>
      </c>
      <c r="F55" s="226"/>
      <c r="G55" s="79">
        <f>G51/G52</f>
        <v>4.6126885085479863</v>
      </c>
      <c r="H55" s="51"/>
      <c r="I55" s="36"/>
      <c r="J55" s="86"/>
      <c r="K55" s="225" t="s">
        <v>53</v>
      </c>
      <c r="L55" s="226"/>
      <c r="M55" s="79">
        <f>M51/M52</f>
        <v>4.6821932552021055</v>
      </c>
      <c r="N55" s="49"/>
      <c r="O55" s="32"/>
      <c r="P55" s="1"/>
      <c r="Q55" s="211" t="s">
        <v>73</v>
      </c>
      <c r="R55" s="212"/>
      <c r="S55" s="272"/>
      <c r="T55" s="273"/>
      <c r="U55" s="38"/>
      <c r="V55" s="38"/>
      <c r="W55" s="38"/>
      <c r="X55" s="38"/>
      <c r="Y55" s="38"/>
      <c r="Z55" s="38"/>
      <c r="AA55" s="38"/>
      <c r="AB55" s="38"/>
      <c r="AC55" s="38"/>
      <c r="AD55" s="1"/>
      <c r="AE55" s="26"/>
      <c r="AN55" s="31"/>
      <c r="AO55" s="31"/>
      <c r="AP55" s="31"/>
      <c r="AQ55"/>
      <c r="AR55"/>
      <c r="AS55"/>
      <c r="AT55"/>
      <c r="AU55"/>
      <c r="AV55"/>
    </row>
    <row r="56" spans="4:48" ht="31.2" customHeight="1" thickBot="1" x14ac:dyDescent="0.35">
      <c r="D56" s="4"/>
      <c r="E56" s="227" t="s">
        <v>54</v>
      </c>
      <c r="F56" s="228"/>
      <c r="G56" s="80">
        <f>(F47-G55*E47)/G54</f>
        <v>4.9872785493864171</v>
      </c>
      <c r="H56" s="51"/>
      <c r="I56" s="36"/>
      <c r="J56" s="86"/>
      <c r="K56" s="209" t="s">
        <v>54</v>
      </c>
      <c r="L56" s="210"/>
      <c r="M56" s="79">
        <f>(L47-M55*K47)/M54</f>
        <v>4.2529099896356497</v>
      </c>
      <c r="N56" s="49"/>
      <c r="O56" s="32"/>
      <c r="P56" s="1"/>
      <c r="Q56" s="1"/>
      <c r="R56" s="1"/>
      <c r="S56" s="1"/>
      <c r="T56" s="1"/>
      <c r="U56" s="38"/>
      <c r="V56" s="38"/>
      <c r="W56" s="38"/>
      <c r="X56" s="38"/>
      <c r="Y56" s="38"/>
      <c r="Z56" s="38"/>
      <c r="AA56" s="38"/>
      <c r="AB56" s="38"/>
      <c r="AC56" s="38"/>
      <c r="AD56" s="1"/>
      <c r="AE56" s="26"/>
      <c r="AN56" s="31"/>
      <c r="AO56" s="31"/>
      <c r="AP56" s="31"/>
      <c r="AQ56"/>
      <c r="AR56"/>
      <c r="AS56"/>
      <c r="AT56"/>
      <c r="AU56"/>
      <c r="AV56"/>
    </row>
    <row r="57" spans="4:48" ht="33.6" customHeight="1" thickBot="1" x14ac:dyDescent="0.45">
      <c r="D57" s="4"/>
      <c r="E57" s="219" t="s">
        <v>56</v>
      </c>
      <c r="F57" s="220"/>
      <c r="G57" s="81">
        <v>17</v>
      </c>
      <c r="H57" s="36"/>
      <c r="I57" s="36"/>
      <c r="J57" s="86"/>
      <c r="K57" s="192" t="s">
        <v>57</v>
      </c>
      <c r="L57" s="193"/>
      <c r="M57" s="90">
        <f>M53-M55*M51</f>
        <v>705.05047636131621</v>
      </c>
      <c r="N57" s="49"/>
      <c r="O57" s="32"/>
      <c r="P57" s="1"/>
      <c r="Q57" s="213" t="s">
        <v>74</v>
      </c>
      <c r="R57" s="214"/>
      <c r="S57" s="109">
        <f>S48</f>
        <v>29.377103181721552</v>
      </c>
      <c r="T57" s="1"/>
      <c r="U57" s="38"/>
      <c r="V57" s="38"/>
      <c r="W57" s="38"/>
      <c r="X57" s="38"/>
      <c r="Y57" s="38"/>
      <c r="Z57" s="38"/>
      <c r="AA57" s="38"/>
      <c r="AB57" s="38"/>
      <c r="AC57" s="38"/>
      <c r="AD57" s="1"/>
      <c r="AE57" s="26"/>
      <c r="AN57" s="31"/>
      <c r="AO57" s="31"/>
      <c r="AP57" s="31"/>
      <c r="AQ57"/>
      <c r="AR57"/>
      <c r="AS57"/>
      <c r="AT57"/>
      <c r="AU57"/>
      <c r="AV57"/>
    </row>
    <row r="58" spans="4:48" ht="31.2" customHeight="1" thickBot="1" x14ac:dyDescent="0.35">
      <c r="D58" s="4"/>
      <c r="E58" s="217" t="s">
        <v>60</v>
      </c>
      <c r="F58" s="218"/>
      <c r="G58" s="84">
        <f>G56+G55*G57</f>
        <v>83.402983194702188</v>
      </c>
      <c r="H58" s="51"/>
      <c r="I58" s="36"/>
      <c r="J58" s="86"/>
      <c r="K58" s="192" t="s">
        <v>63</v>
      </c>
      <c r="L58" s="193"/>
      <c r="M58" s="90">
        <f>M57/(M54-2)</f>
        <v>32.047748925514377</v>
      </c>
      <c r="N58" s="49"/>
      <c r="O58" s="32"/>
      <c r="P58" s="1"/>
      <c r="Q58" s="213" t="s">
        <v>75</v>
      </c>
      <c r="R58" s="214"/>
      <c r="S58" s="109">
        <f>R48</f>
        <v>4.4864648940976375</v>
      </c>
      <c r="T58" s="1"/>
      <c r="U58" s="38"/>
      <c r="V58" s="38"/>
      <c r="W58" s="38"/>
      <c r="X58" s="38"/>
      <c r="Y58" s="38"/>
      <c r="Z58" s="38"/>
      <c r="AA58" s="38"/>
      <c r="AB58" s="38"/>
      <c r="AC58" s="38"/>
      <c r="AD58" s="1"/>
      <c r="AE58" s="26"/>
      <c r="AN58" s="31"/>
      <c r="AO58" s="31"/>
      <c r="AP58" s="31"/>
      <c r="AQ58"/>
      <c r="AR58"/>
      <c r="AS58"/>
      <c r="AT58"/>
      <c r="AU58"/>
      <c r="AV58"/>
    </row>
    <row r="59" spans="4:48" ht="38.4" customHeight="1" thickBot="1" x14ac:dyDescent="0.45">
      <c r="D59" s="4"/>
      <c r="E59" s="52"/>
      <c r="F59" s="35"/>
      <c r="G59" s="69"/>
      <c r="H59" s="36"/>
      <c r="I59" s="36"/>
      <c r="J59" s="86"/>
      <c r="K59" s="192" t="s">
        <v>58</v>
      </c>
      <c r="L59" s="193"/>
      <c r="M59" s="90">
        <f>M53</f>
        <v>8037.8333333333358</v>
      </c>
      <c r="N59" s="49"/>
      <c r="O59" s="32"/>
      <c r="P59" s="1"/>
      <c r="Q59" s="215" t="s">
        <v>76</v>
      </c>
      <c r="R59" s="216"/>
      <c r="S59" s="110">
        <f>T48</f>
        <v>0.11086961585602849</v>
      </c>
      <c r="T59" s="1"/>
      <c r="U59" s="38"/>
      <c r="V59" s="38"/>
      <c r="W59" s="38"/>
      <c r="X59" s="38"/>
      <c r="Y59" s="38"/>
      <c r="Z59" s="38"/>
      <c r="AA59" s="38"/>
      <c r="AB59" s="38"/>
      <c r="AC59" s="38"/>
      <c r="AD59" s="1"/>
      <c r="AE59" s="26"/>
      <c r="AN59" s="31"/>
      <c r="AO59" s="31"/>
      <c r="AP59" s="31"/>
      <c r="AQ59"/>
      <c r="AR59"/>
      <c r="AS59"/>
      <c r="AT59"/>
      <c r="AU59"/>
      <c r="AV59"/>
    </row>
    <row r="60" spans="4:48" ht="51.6" customHeight="1" thickBot="1" x14ac:dyDescent="0.35">
      <c r="D60" s="4"/>
      <c r="E60" s="2" cm="1">
        <f t="array" ref="E60:F60">LINEST(F23:F46,E23:E46)</f>
        <v>4.612688508547981</v>
      </c>
      <c r="F60" s="1">
        <v>4.9872785493864598</v>
      </c>
      <c r="G60" s="36"/>
      <c r="H60" s="36"/>
      <c r="I60" s="36"/>
      <c r="J60" s="86"/>
      <c r="K60" s="190" t="s">
        <v>59</v>
      </c>
      <c r="L60" s="191"/>
      <c r="M60" s="91">
        <f>1-(M57/M59)</f>
        <v>0.91228351632554594</v>
      </c>
      <c r="N60" s="49">
        <f>M51/SQRT(M52*M53)</f>
        <v>0.95513533927163741</v>
      </c>
      <c r="O60" s="32"/>
      <c r="P60" s="1"/>
      <c r="Q60" s="1"/>
      <c r="R60" s="1"/>
      <c r="S60" s="1"/>
      <c r="T60" s="1"/>
      <c r="U60" s="38"/>
      <c r="V60" s="38"/>
      <c r="W60" s="38"/>
      <c r="X60" s="38"/>
      <c r="Y60" s="38"/>
      <c r="Z60" s="38"/>
      <c r="AA60" s="38"/>
      <c r="AB60" s="38"/>
      <c r="AC60" s="38"/>
      <c r="AD60" s="1"/>
      <c r="AE60" s="26"/>
      <c r="AN60" s="31"/>
      <c r="AO60" s="31"/>
      <c r="AP60" s="31"/>
      <c r="AQ60"/>
      <c r="AR60"/>
      <c r="AS60"/>
      <c r="AT60"/>
      <c r="AU60"/>
      <c r="AV60"/>
    </row>
    <row r="61" spans="4:48" ht="14.4" customHeight="1" x14ac:dyDescent="0.3">
      <c r="D61" s="4"/>
      <c r="E61" s="2" t="s">
        <v>81</v>
      </c>
      <c r="F61" s="1" t="s">
        <v>124</v>
      </c>
      <c r="G61" s="36"/>
      <c r="H61" s="36"/>
      <c r="I61" s="36"/>
      <c r="J61" s="194" t="s">
        <v>66</v>
      </c>
      <c r="K61" s="195"/>
      <c r="L61" s="195"/>
      <c r="M61" s="195"/>
      <c r="N61" s="195"/>
      <c r="O61" s="196"/>
      <c r="P61" s="1"/>
      <c r="Q61" s="1"/>
      <c r="R61" s="1"/>
      <c r="S61" s="1"/>
      <c r="T61" s="1"/>
      <c r="U61" s="38"/>
      <c r="V61" s="38"/>
      <c r="W61" s="38"/>
      <c r="X61" s="38"/>
      <c r="Y61" s="38"/>
      <c r="Z61" s="38"/>
      <c r="AA61" s="38"/>
      <c r="AB61" s="38"/>
      <c r="AC61" s="38"/>
      <c r="AD61" s="1"/>
      <c r="AE61" s="26"/>
      <c r="AN61" s="31"/>
      <c r="AO61" s="31"/>
      <c r="AP61" s="31"/>
      <c r="AQ61"/>
      <c r="AR61"/>
      <c r="AS61"/>
      <c r="AT61"/>
      <c r="AU61"/>
      <c r="AV61"/>
    </row>
    <row r="62" spans="4:48" x14ac:dyDescent="0.3">
      <c r="D62" s="4"/>
      <c r="E62" s="2"/>
      <c r="F62" s="1"/>
      <c r="G62" s="36"/>
      <c r="H62" s="36"/>
      <c r="I62" s="36"/>
      <c r="J62" s="197"/>
      <c r="K62" s="195"/>
      <c r="L62" s="195"/>
      <c r="M62" s="195"/>
      <c r="N62" s="195"/>
      <c r="O62" s="196"/>
      <c r="P62" s="1"/>
      <c r="Q62" s="1"/>
      <c r="R62" s="1"/>
      <c r="S62" s="1"/>
      <c r="T62" s="1"/>
      <c r="U62" s="38"/>
      <c r="V62" s="38"/>
      <c r="W62" s="38"/>
      <c r="X62" s="38"/>
      <c r="Y62" s="38"/>
      <c r="Z62" s="38"/>
      <c r="AA62" s="38"/>
      <c r="AB62" s="38"/>
      <c r="AC62" s="38"/>
      <c r="AD62" s="1"/>
      <c r="AE62" s="26"/>
      <c r="AN62" s="31"/>
      <c r="AO62" s="31"/>
      <c r="AP62" s="31"/>
      <c r="AQ62"/>
      <c r="AR62"/>
      <c r="AS62"/>
      <c r="AT62"/>
      <c r="AU62"/>
      <c r="AV62"/>
    </row>
    <row r="63" spans="4:48" ht="47.4" customHeight="1" x14ac:dyDescent="0.3">
      <c r="D63" s="4"/>
      <c r="E63" s="2"/>
      <c r="F63" s="1"/>
      <c r="G63" s="36"/>
      <c r="H63" s="36"/>
      <c r="I63" s="36"/>
      <c r="J63" s="197"/>
      <c r="K63" s="195"/>
      <c r="L63" s="195"/>
      <c r="M63" s="195"/>
      <c r="N63" s="195"/>
      <c r="O63" s="196"/>
      <c r="P63" s="1"/>
      <c r="Q63" s="1"/>
      <c r="R63" s="1"/>
      <c r="S63" s="1"/>
      <c r="T63" s="1"/>
      <c r="U63" s="38"/>
      <c r="V63" s="38"/>
      <c r="W63" s="38"/>
      <c r="X63" s="38"/>
      <c r="Y63" s="38"/>
      <c r="Z63" s="38"/>
      <c r="AA63" s="38"/>
      <c r="AB63" s="38"/>
      <c r="AC63" s="38"/>
      <c r="AD63" s="1"/>
      <c r="AE63" s="26"/>
      <c r="AN63" s="31"/>
      <c r="AO63" s="31"/>
      <c r="AP63" s="31"/>
      <c r="AQ63"/>
      <c r="AR63"/>
      <c r="AS63"/>
      <c r="AT63"/>
      <c r="AU63"/>
      <c r="AV63"/>
    </row>
    <row r="64" spans="4:48" x14ac:dyDescent="0.3">
      <c r="D64" s="4"/>
      <c r="E64" s="2"/>
      <c r="F64" s="1"/>
      <c r="G64" s="36"/>
      <c r="H64" s="36"/>
      <c r="I64" s="36"/>
      <c r="J64" s="197"/>
      <c r="K64" s="195"/>
      <c r="L64" s="195"/>
      <c r="M64" s="195"/>
      <c r="N64" s="195"/>
      <c r="O64" s="196"/>
      <c r="P64" s="1"/>
      <c r="Q64" s="1"/>
      <c r="R64" s="1"/>
      <c r="S64" s="1"/>
      <c r="T64" s="1"/>
      <c r="U64" s="38"/>
      <c r="V64" s="38"/>
      <c r="W64" s="38"/>
      <c r="X64" s="38"/>
      <c r="Y64" s="38"/>
      <c r="Z64" s="38"/>
      <c r="AA64" s="38"/>
      <c r="AB64" s="38"/>
      <c r="AC64" s="38"/>
      <c r="AD64" s="1"/>
      <c r="AE64" s="26"/>
      <c r="AN64" s="31"/>
      <c r="AO64" s="31"/>
      <c r="AP64" s="31"/>
      <c r="AQ64"/>
      <c r="AR64"/>
      <c r="AS64"/>
      <c r="AT64"/>
      <c r="AU64"/>
      <c r="AV64"/>
    </row>
    <row r="65" spans="4:48" x14ac:dyDescent="0.3">
      <c r="D65" s="4"/>
      <c r="E65" s="2"/>
      <c r="F65" s="1"/>
      <c r="G65" s="36"/>
      <c r="H65" s="36"/>
      <c r="I65" s="36"/>
      <c r="J65" s="198"/>
      <c r="K65" s="199"/>
      <c r="L65" s="199"/>
      <c r="M65" s="199"/>
      <c r="N65" s="199"/>
      <c r="O65" s="200"/>
      <c r="P65" s="1"/>
      <c r="Q65" s="1"/>
      <c r="R65" s="1"/>
      <c r="S65" s="1"/>
      <c r="T65" s="1"/>
      <c r="U65" s="38"/>
      <c r="V65" s="38"/>
      <c r="W65" s="38"/>
      <c r="X65" s="38"/>
      <c r="Y65" s="38"/>
      <c r="Z65" s="38"/>
      <c r="AA65" s="38"/>
      <c r="AB65" s="38"/>
      <c r="AC65" s="38"/>
      <c r="AD65" s="1"/>
      <c r="AE65" s="26"/>
      <c r="AN65" s="31"/>
      <c r="AO65" s="31"/>
      <c r="AP65" s="31"/>
      <c r="AQ65"/>
      <c r="AR65"/>
      <c r="AS65"/>
      <c r="AT65"/>
      <c r="AU65"/>
      <c r="AV65"/>
    </row>
    <row r="66" spans="4:48" ht="15" thickBot="1" x14ac:dyDescent="0.35">
      <c r="D66" s="4"/>
      <c r="E66" s="2"/>
      <c r="F66" s="1"/>
      <c r="G66" s="36"/>
      <c r="H66" s="36"/>
      <c r="I66" s="36"/>
      <c r="J66" s="32"/>
      <c r="K66" s="32"/>
      <c r="L66" s="32"/>
      <c r="M66" s="32"/>
      <c r="N66" s="32"/>
      <c r="O66" s="32"/>
      <c r="P66" s="1"/>
      <c r="Q66" s="1"/>
      <c r="R66" s="1"/>
      <c r="S66" s="1"/>
      <c r="T66" s="1"/>
      <c r="U66" s="38"/>
      <c r="V66" s="38"/>
      <c r="W66" s="38"/>
      <c r="X66" s="38"/>
      <c r="Y66" s="38"/>
      <c r="Z66" s="38"/>
      <c r="AA66" s="38"/>
      <c r="AB66" s="38"/>
      <c r="AC66" s="38"/>
      <c r="AD66" s="1"/>
      <c r="AE66" s="26"/>
      <c r="AN66" s="31"/>
      <c r="AO66" s="31"/>
      <c r="AP66" s="31"/>
      <c r="AQ66"/>
      <c r="AR66"/>
      <c r="AS66"/>
      <c r="AT66"/>
      <c r="AU66"/>
      <c r="AV66"/>
    </row>
    <row r="67" spans="4:48" ht="16.2" thickBot="1" x14ac:dyDescent="0.35">
      <c r="D67" s="4"/>
      <c r="E67" s="113" t="s">
        <v>43</v>
      </c>
      <c r="F67" s="104" t="s">
        <v>44</v>
      </c>
      <c r="G67" s="102" t="s">
        <v>60</v>
      </c>
      <c r="H67" s="51"/>
      <c r="I67" s="36"/>
      <c r="J67" s="32"/>
      <c r="K67" s="32"/>
      <c r="L67" s="32"/>
      <c r="M67" s="32"/>
      <c r="N67" s="32"/>
      <c r="O67" s="32"/>
      <c r="P67" s="1"/>
      <c r="Q67" s="1"/>
      <c r="R67" s="1"/>
      <c r="S67" s="1"/>
      <c r="T67" s="1"/>
      <c r="U67" s="38"/>
      <c r="V67" s="38"/>
      <c r="W67" s="38"/>
      <c r="X67" s="38"/>
      <c r="Y67" s="38"/>
      <c r="Z67" s="38"/>
      <c r="AA67" s="38"/>
      <c r="AB67" s="38"/>
      <c r="AC67" s="38"/>
      <c r="AD67" s="1"/>
      <c r="AE67" s="26"/>
      <c r="AN67" s="31"/>
      <c r="AO67" s="31"/>
      <c r="AP67" s="31"/>
      <c r="AQ67"/>
      <c r="AR67"/>
      <c r="AS67"/>
      <c r="AT67"/>
      <c r="AU67"/>
      <c r="AV67"/>
    </row>
    <row r="68" spans="4:48" x14ac:dyDescent="0.3">
      <c r="E68" s="43">
        <v>0</v>
      </c>
      <c r="F68" s="112">
        <v>5</v>
      </c>
      <c r="G68" s="101">
        <v>4.2529099896356497</v>
      </c>
      <c r="H68" s="51"/>
      <c r="I68" s="36"/>
      <c r="J68" s="32"/>
      <c r="K68" s="32"/>
      <c r="L68" s="32"/>
      <c r="M68" s="32"/>
      <c r="N68" s="32"/>
      <c r="O68" s="32"/>
      <c r="P68" s="1"/>
      <c r="Q68" s="1"/>
      <c r="R68" s="1"/>
      <c r="S68" s="1"/>
      <c r="T68" s="1"/>
      <c r="U68" s="38"/>
      <c r="V68" s="38"/>
      <c r="W68" s="38"/>
      <c r="X68" s="38"/>
      <c r="Y68" s="38"/>
      <c r="Z68" s="38"/>
      <c r="AA68" s="38"/>
      <c r="AB68" s="38"/>
      <c r="AC68" s="38"/>
      <c r="AD68" s="1"/>
      <c r="AE68" s="26"/>
      <c r="AN68" s="31"/>
      <c r="AO68" s="31"/>
      <c r="AP68" s="31"/>
      <c r="AQ68"/>
      <c r="AR68"/>
      <c r="AS68"/>
      <c r="AT68"/>
      <c r="AU68"/>
      <c r="AV68"/>
    </row>
    <row r="69" spans="4:48" x14ac:dyDescent="0.3">
      <c r="E69" s="42">
        <v>1.5</v>
      </c>
      <c r="F69" s="54">
        <v>11</v>
      </c>
      <c r="G69" s="55">
        <v>11.276199872438809</v>
      </c>
      <c r="H69" s="51"/>
      <c r="I69" s="36"/>
      <c r="J69" s="32"/>
      <c r="K69" s="32"/>
      <c r="L69" s="32"/>
      <c r="M69" s="32"/>
      <c r="N69" s="32"/>
      <c r="O69" s="32"/>
      <c r="P69" s="1"/>
      <c r="Q69" s="1"/>
      <c r="R69" s="1"/>
      <c r="S69" s="1"/>
      <c r="T69" s="1"/>
      <c r="U69" s="38"/>
      <c r="V69" s="38"/>
      <c r="W69" s="38"/>
      <c r="X69" s="38"/>
      <c r="Y69" s="38"/>
      <c r="Z69" s="38"/>
      <c r="AA69" s="38"/>
      <c r="AB69" s="38"/>
      <c r="AC69" s="38"/>
      <c r="AD69" s="1"/>
      <c r="AE69" s="26"/>
      <c r="AM69" s="4"/>
      <c r="AN69" s="31"/>
      <c r="AO69" s="31"/>
      <c r="AP69" s="31"/>
      <c r="AQ69" s="40"/>
      <c r="AR69"/>
      <c r="AS69"/>
      <c r="AT69"/>
      <c r="AU69"/>
      <c r="AV69"/>
    </row>
    <row r="70" spans="4:48" x14ac:dyDescent="0.3">
      <c r="E70" s="42">
        <v>3.1</v>
      </c>
      <c r="F70" s="54">
        <v>27</v>
      </c>
      <c r="G70" s="26">
        <v>23.449902335964282</v>
      </c>
      <c r="H70" s="51"/>
      <c r="I70" s="36"/>
      <c r="J70" s="32"/>
      <c r="K70" s="32"/>
      <c r="L70" s="32"/>
      <c r="M70" s="32"/>
      <c r="N70" s="32"/>
      <c r="O70" s="32"/>
      <c r="P70" s="1"/>
      <c r="Q70" s="1"/>
      <c r="R70" s="1"/>
      <c r="S70" s="1"/>
      <c r="T70" s="1"/>
      <c r="U70" s="38"/>
      <c r="V70" s="38"/>
      <c r="W70" s="38"/>
      <c r="X70" s="38"/>
      <c r="Y70" s="38"/>
      <c r="Z70" s="38"/>
      <c r="AA70" s="38"/>
      <c r="AB70" s="38"/>
      <c r="AC70" s="38"/>
      <c r="AD70" s="1"/>
      <c r="AE70" s="26"/>
      <c r="AM70" s="4"/>
      <c r="AN70" s="4"/>
      <c r="AO70" s="4"/>
      <c r="AP70" s="4"/>
      <c r="AQ70" s="4"/>
    </row>
    <row r="71" spans="4:48" x14ac:dyDescent="0.3">
      <c r="E71" s="42">
        <v>3.7</v>
      </c>
      <c r="F71" s="54">
        <v>29</v>
      </c>
      <c r="G71" s="26">
        <v>21.577025033883441</v>
      </c>
      <c r="H71" s="51"/>
      <c r="I71" s="36"/>
      <c r="J71" s="32"/>
      <c r="K71" s="32"/>
      <c r="L71" s="32"/>
      <c r="M71" s="32"/>
      <c r="N71" s="32"/>
      <c r="O71" s="32"/>
      <c r="P71" s="1"/>
      <c r="Q71" s="1"/>
      <c r="R71" s="1"/>
      <c r="S71" s="1"/>
      <c r="T71" s="1"/>
      <c r="U71" s="38"/>
      <c r="V71" s="38"/>
      <c r="W71" s="38"/>
      <c r="X71" s="38"/>
      <c r="Y71" s="38"/>
      <c r="Z71" s="38"/>
      <c r="AA71" s="38"/>
      <c r="AB71" s="38"/>
      <c r="AC71" s="38"/>
      <c r="AD71" s="1"/>
      <c r="AE71" s="26"/>
      <c r="AM71" s="4"/>
      <c r="AN71" s="4"/>
      <c r="AO71" s="4"/>
      <c r="AP71" s="4"/>
      <c r="AQ71" s="4"/>
    </row>
    <row r="72" spans="4:48" x14ac:dyDescent="0.3">
      <c r="E72" s="42">
        <v>4.8</v>
      </c>
      <c r="F72" s="54">
        <v>25</v>
      </c>
      <c r="G72" s="26">
        <v>26.727437614605755</v>
      </c>
      <c r="H72" s="51"/>
      <c r="I72" s="36"/>
      <c r="J72" s="32"/>
      <c r="K72" s="32"/>
      <c r="L72" s="32"/>
      <c r="M72" s="32"/>
      <c r="N72" s="32"/>
      <c r="O72" s="32"/>
      <c r="P72" s="1"/>
      <c r="Q72" s="1"/>
      <c r="R72" s="1"/>
      <c r="S72" s="1"/>
      <c r="T72" s="1"/>
      <c r="U72" s="38"/>
      <c r="V72" s="38"/>
      <c r="W72" s="38"/>
      <c r="X72" s="38"/>
      <c r="Y72" s="38"/>
      <c r="Z72" s="38"/>
      <c r="AA72" s="38"/>
      <c r="AB72" s="38"/>
      <c r="AC72" s="38"/>
      <c r="AD72" s="1"/>
      <c r="AE72" s="26"/>
    </row>
    <row r="73" spans="4:48" x14ac:dyDescent="0.3">
      <c r="E73" s="42">
        <v>5.4</v>
      </c>
      <c r="F73" s="54">
        <v>28</v>
      </c>
      <c r="G73" s="26">
        <v>29.536753567727022</v>
      </c>
      <c r="H73" s="51"/>
      <c r="I73" s="36"/>
      <c r="J73" s="32"/>
      <c r="K73" s="32"/>
      <c r="L73" s="32"/>
      <c r="M73" s="32"/>
      <c r="N73" s="32"/>
      <c r="O73" s="32"/>
      <c r="P73" s="1"/>
      <c r="Q73" s="1"/>
      <c r="R73" s="1"/>
      <c r="S73" s="1"/>
      <c r="T73" s="1"/>
      <c r="U73" s="38"/>
      <c r="V73" s="38"/>
      <c r="W73" s="38"/>
      <c r="X73" s="38"/>
      <c r="Y73" s="38"/>
      <c r="Z73" s="38"/>
      <c r="AA73" s="38"/>
      <c r="AB73" s="38"/>
      <c r="AC73" s="38"/>
      <c r="AD73" s="1"/>
      <c r="AE73" s="26"/>
    </row>
    <row r="74" spans="4:48" x14ac:dyDescent="0.3">
      <c r="E74" s="42">
        <v>5.5</v>
      </c>
      <c r="F74" s="54">
        <v>26</v>
      </c>
      <c r="G74" s="55">
        <v>30.004972893247231</v>
      </c>
      <c r="H74" s="51"/>
      <c r="I74" s="36"/>
      <c r="J74" s="32"/>
      <c r="K74" s="32"/>
      <c r="L74" s="32"/>
      <c r="M74" s="32"/>
      <c r="N74" s="32"/>
      <c r="O74" s="32"/>
      <c r="P74" s="1"/>
      <c r="Q74" s="1"/>
      <c r="R74" s="1"/>
      <c r="S74" s="1"/>
      <c r="T74" s="1"/>
      <c r="U74" s="38"/>
      <c r="V74" s="38"/>
      <c r="W74" s="38"/>
      <c r="X74" s="38"/>
      <c r="Y74" s="38"/>
      <c r="Z74" s="38"/>
      <c r="AA74" s="38"/>
      <c r="AB74" s="38"/>
      <c r="AC74" s="38"/>
      <c r="AD74" s="1"/>
      <c r="AE74" s="26"/>
    </row>
    <row r="75" spans="4:48" x14ac:dyDescent="0.3">
      <c r="E75" s="42">
        <v>6.7</v>
      </c>
      <c r="F75" s="54">
        <v>30</v>
      </c>
      <c r="G75" s="115">
        <v>35.623604799489755</v>
      </c>
      <c r="H75" s="114"/>
      <c r="I75" s="35"/>
      <c r="J75" s="35"/>
      <c r="K75" s="35"/>
      <c r="L75" s="35"/>
      <c r="M75" s="35"/>
      <c r="N75" s="35"/>
      <c r="O75" s="35"/>
      <c r="P75" s="1"/>
      <c r="Q75" s="1"/>
      <c r="R75" s="1"/>
      <c r="S75" s="1"/>
      <c r="T75" s="1"/>
      <c r="U75" s="1"/>
      <c r="V75" s="1"/>
      <c r="W75" s="1"/>
      <c r="X75" s="1"/>
      <c r="Y75" s="1"/>
      <c r="Z75" s="1"/>
      <c r="AA75" s="1"/>
      <c r="AB75" s="1"/>
      <c r="AC75" s="1"/>
      <c r="AD75" s="1"/>
      <c r="AE75" s="26"/>
    </row>
    <row r="76" spans="4:48" x14ac:dyDescent="0.3">
      <c r="E76" s="42">
        <v>6.8</v>
      </c>
      <c r="F76" s="54">
        <v>40</v>
      </c>
      <c r="G76" s="26">
        <v>36.091824125009964</v>
      </c>
      <c r="H76" s="34"/>
      <c r="I76" s="1"/>
      <c r="J76" s="1"/>
      <c r="K76" s="1"/>
      <c r="L76" s="1"/>
      <c r="M76" s="1"/>
      <c r="N76" s="1"/>
      <c r="O76" s="1"/>
      <c r="P76" s="1"/>
      <c r="Q76" s="1"/>
      <c r="R76" s="1"/>
      <c r="S76" s="1"/>
      <c r="T76" s="1"/>
      <c r="U76" s="1"/>
      <c r="V76" s="1"/>
      <c r="W76" s="1"/>
      <c r="X76" s="1"/>
      <c r="Y76" s="1"/>
      <c r="Z76" s="1"/>
      <c r="AA76" s="1"/>
      <c r="AB76" s="1"/>
      <c r="AC76" s="1"/>
      <c r="AD76" s="1"/>
      <c r="AE76" s="26"/>
    </row>
    <row r="77" spans="4:48" x14ac:dyDescent="0.3">
      <c r="E77" s="42">
        <v>7.1</v>
      </c>
      <c r="F77" s="54">
        <v>41</v>
      </c>
      <c r="G77" s="26">
        <v>37.496482101570592</v>
      </c>
      <c r="H77" s="34"/>
      <c r="I77" s="1"/>
      <c r="J77" s="1"/>
      <c r="K77" s="1"/>
      <c r="L77" s="1"/>
      <c r="M77" s="1"/>
      <c r="N77" s="1"/>
      <c r="O77" s="1"/>
      <c r="P77" s="1"/>
      <c r="Q77" s="1"/>
      <c r="R77" s="1"/>
      <c r="S77" s="1"/>
      <c r="T77" s="1"/>
      <c r="U77" s="1"/>
      <c r="V77" s="1"/>
      <c r="W77" s="1"/>
      <c r="X77" s="1"/>
      <c r="Y77" s="1"/>
      <c r="Z77" s="1"/>
      <c r="AA77" s="1"/>
      <c r="AB77" s="1"/>
      <c r="AC77" s="1"/>
      <c r="AD77" s="1"/>
      <c r="AE77" s="26"/>
    </row>
    <row r="78" spans="4:48" x14ac:dyDescent="0.3">
      <c r="E78" s="42">
        <v>8.5</v>
      </c>
      <c r="F78" s="54">
        <v>36</v>
      </c>
      <c r="G78" s="26">
        <v>44.051552658853545</v>
      </c>
      <c r="H78" s="34"/>
      <c r="I78" s="1"/>
      <c r="J78" s="1"/>
      <c r="K78" s="1"/>
      <c r="L78" s="1"/>
      <c r="M78" s="1"/>
      <c r="N78" s="1"/>
      <c r="O78" s="1"/>
      <c r="P78" s="1"/>
      <c r="Q78" s="1"/>
      <c r="R78" s="1"/>
      <c r="S78" s="1"/>
      <c r="T78" s="1"/>
      <c r="U78" s="1"/>
      <c r="V78" s="1"/>
      <c r="W78" s="1"/>
      <c r="X78" s="1"/>
      <c r="Y78" s="1"/>
      <c r="Z78" s="1"/>
      <c r="AA78" s="1"/>
      <c r="AB78" s="1"/>
      <c r="AC78" s="1"/>
      <c r="AD78" s="1"/>
      <c r="AE78" s="26"/>
    </row>
    <row r="79" spans="4:48" x14ac:dyDescent="0.3">
      <c r="E79" s="42">
        <v>10.1</v>
      </c>
      <c r="F79" s="54">
        <v>49</v>
      </c>
      <c r="G79" s="55">
        <v>51.54306186717691</v>
      </c>
      <c r="H79" s="34"/>
      <c r="I79" s="1"/>
      <c r="J79" s="1"/>
      <c r="K79" s="1"/>
      <c r="L79" s="1"/>
      <c r="M79" s="1"/>
      <c r="N79" s="1"/>
      <c r="O79" s="1"/>
      <c r="P79" s="1"/>
      <c r="Q79" s="1"/>
      <c r="R79" s="1"/>
      <c r="S79" s="1"/>
      <c r="T79" s="1"/>
      <c r="U79" s="1"/>
      <c r="V79" s="1"/>
      <c r="W79" s="1"/>
      <c r="X79" s="1"/>
      <c r="Y79" s="1"/>
      <c r="Z79" s="1"/>
      <c r="AA79" s="1"/>
      <c r="AB79" s="1"/>
      <c r="AC79" s="1"/>
      <c r="AD79" s="1"/>
      <c r="AE79" s="26"/>
    </row>
    <row r="80" spans="4:48" x14ac:dyDescent="0.3">
      <c r="E80" s="42">
        <v>10.1</v>
      </c>
      <c r="F80" s="54">
        <v>42</v>
      </c>
      <c r="G80" s="26">
        <v>51.54306186717691</v>
      </c>
      <c r="H80" s="34"/>
      <c r="I80" s="1"/>
      <c r="J80" s="1"/>
      <c r="K80" s="1"/>
      <c r="L80" s="1"/>
      <c r="M80" s="1"/>
      <c r="N80" s="1"/>
      <c r="O80" s="1"/>
      <c r="P80" s="1"/>
      <c r="Q80" s="1"/>
      <c r="R80" s="1"/>
      <c r="S80" s="1"/>
      <c r="T80" s="1"/>
      <c r="U80" s="1"/>
      <c r="V80" s="1"/>
      <c r="W80" s="1"/>
      <c r="X80" s="1"/>
      <c r="Y80" s="1"/>
      <c r="Z80" s="1"/>
      <c r="AA80" s="1"/>
      <c r="AB80" s="1"/>
      <c r="AC80" s="1"/>
      <c r="AD80" s="1"/>
      <c r="AE80" s="26"/>
    </row>
    <row r="81" spans="5:31" x14ac:dyDescent="0.3">
      <c r="E81" s="42">
        <v>10.3</v>
      </c>
      <c r="F81" s="54">
        <v>60</v>
      </c>
      <c r="G81" s="26">
        <v>52.479500518217336</v>
      </c>
      <c r="H81" s="34"/>
      <c r="I81" s="1"/>
      <c r="J81" s="1"/>
      <c r="K81" s="1"/>
      <c r="L81" s="1"/>
      <c r="M81" s="1"/>
      <c r="N81" s="1"/>
      <c r="O81" s="1"/>
      <c r="P81" s="1"/>
      <c r="Q81" s="1"/>
      <c r="R81" s="1"/>
      <c r="S81" s="1"/>
      <c r="T81" s="1"/>
      <c r="U81" s="1"/>
      <c r="V81" s="1"/>
      <c r="W81" s="1"/>
      <c r="X81" s="1"/>
      <c r="Y81" s="1"/>
      <c r="Z81" s="1"/>
      <c r="AA81" s="1"/>
      <c r="AB81" s="1"/>
      <c r="AC81" s="1"/>
      <c r="AD81" s="1"/>
      <c r="AE81" s="26"/>
    </row>
    <row r="82" spans="5:31" x14ac:dyDescent="0.3">
      <c r="E82" s="42">
        <v>10.3</v>
      </c>
      <c r="F82" s="54">
        <v>60</v>
      </c>
      <c r="G82" s="26">
        <v>52.479500518217336</v>
      </c>
      <c r="H82" s="34"/>
      <c r="I82" s="1"/>
      <c r="J82" s="1"/>
      <c r="K82" s="1"/>
      <c r="L82" s="1"/>
      <c r="M82" s="1"/>
      <c r="N82" s="1"/>
      <c r="O82" s="1"/>
      <c r="P82" s="1"/>
      <c r="Q82" s="1"/>
      <c r="R82" s="1"/>
      <c r="S82" s="1"/>
      <c r="T82" s="1"/>
      <c r="U82" s="1"/>
      <c r="V82" s="1"/>
      <c r="W82" s="1"/>
      <c r="X82" s="1"/>
      <c r="Y82" s="1"/>
      <c r="Z82" s="1"/>
      <c r="AA82" s="1"/>
      <c r="AB82" s="1"/>
      <c r="AC82" s="1"/>
      <c r="AD82" s="1"/>
      <c r="AE82" s="26"/>
    </row>
    <row r="83" spans="5:31" x14ac:dyDescent="0.3">
      <c r="E83" s="42">
        <v>10.4</v>
      </c>
      <c r="F83" s="54">
        <v>53</v>
      </c>
      <c r="G83" s="26">
        <v>52.947719843737545</v>
      </c>
      <c r="H83" s="34"/>
      <c r="I83" s="1"/>
      <c r="J83" s="1"/>
      <c r="K83" s="1"/>
      <c r="L83" s="1"/>
      <c r="M83" s="1"/>
      <c r="N83" s="1"/>
      <c r="O83" s="1"/>
      <c r="P83" s="1"/>
      <c r="Q83" s="1"/>
      <c r="R83" s="1"/>
      <c r="S83" s="1"/>
      <c r="T83" s="1"/>
      <c r="U83" s="1"/>
      <c r="V83" s="1"/>
      <c r="W83" s="1"/>
      <c r="X83" s="1"/>
      <c r="Y83" s="1"/>
      <c r="Z83" s="1"/>
      <c r="AA83" s="1"/>
      <c r="AB83" s="1"/>
      <c r="AC83" s="1"/>
      <c r="AD83" s="1"/>
      <c r="AE83" s="26"/>
    </row>
    <row r="84" spans="5:31" x14ac:dyDescent="0.3">
      <c r="E84" s="42">
        <v>10.5</v>
      </c>
      <c r="F84" s="54">
        <v>51</v>
      </c>
      <c r="G84" s="55">
        <v>53.415939169257754</v>
      </c>
      <c r="H84" s="34"/>
      <c r="I84" s="1"/>
      <c r="J84" s="1"/>
      <c r="K84" s="1"/>
      <c r="L84" s="1"/>
      <c r="M84" s="1"/>
      <c r="N84" s="1"/>
      <c r="O84" s="1"/>
      <c r="P84" s="1"/>
      <c r="Q84" s="1"/>
      <c r="R84" s="1"/>
      <c r="S84" s="1"/>
      <c r="T84" s="1"/>
      <c r="U84" s="1"/>
      <c r="V84" s="1"/>
      <c r="W84" s="1"/>
      <c r="X84" s="1"/>
      <c r="Y84" s="1"/>
      <c r="Z84" s="1"/>
      <c r="AA84" s="1"/>
      <c r="AB84" s="1"/>
      <c r="AC84" s="1"/>
      <c r="AD84" s="1"/>
      <c r="AE84" s="26"/>
    </row>
    <row r="85" spans="5:31" x14ac:dyDescent="0.3">
      <c r="E85" s="42">
        <v>11</v>
      </c>
      <c r="F85" s="54">
        <v>55</v>
      </c>
      <c r="G85" s="26">
        <v>55.757035796858808</v>
      </c>
      <c r="H85" s="34"/>
      <c r="I85" s="1"/>
      <c r="J85" s="1"/>
      <c r="K85" s="1"/>
      <c r="L85" s="1"/>
      <c r="M85" s="1"/>
      <c r="N85" s="1"/>
      <c r="O85" s="1"/>
      <c r="P85" s="1"/>
      <c r="Q85" s="1"/>
      <c r="R85" s="1"/>
      <c r="S85" s="1"/>
      <c r="T85" s="1"/>
      <c r="U85" s="1"/>
      <c r="V85" s="1"/>
      <c r="W85" s="1"/>
      <c r="X85" s="1"/>
      <c r="Y85" s="1"/>
      <c r="Z85" s="1"/>
      <c r="AA85" s="1"/>
      <c r="AB85" s="1"/>
      <c r="AC85" s="1"/>
      <c r="AD85" s="1"/>
      <c r="AE85" s="26"/>
    </row>
    <row r="86" spans="5:31" x14ac:dyDescent="0.3">
      <c r="E86" s="42">
        <v>11.1</v>
      </c>
      <c r="F86" s="54">
        <v>53</v>
      </c>
      <c r="G86" s="55">
        <v>56.225255122379018</v>
      </c>
      <c r="H86" s="34"/>
      <c r="I86" s="1"/>
      <c r="J86" s="1"/>
      <c r="K86" s="1"/>
      <c r="L86" s="1"/>
      <c r="M86" s="1"/>
      <c r="N86" s="1"/>
      <c r="O86" s="1"/>
      <c r="P86" s="1"/>
      <c r="Q86" s="1"/>
      <c r="R86" s="1"/>
      <c r="S86" s="1"/>
      <c r="T86" s="1"/>
      <c r="U86" s="1"/>
      <c r="V86" s="1"/>
      <c r="W86" s="1"/>
      <c r="X86" s="1"/>
      <c r="Y86" s="1"/>
      <c r="Z86" s="1"/>
      <c r="AA86" s="1"/>
      <c r="AB86" s="1"/>
      <c r="AC86" s="1"/>
      <c r="AD86" s="1"/>
      <c r="AE86" s="26"/>
    </row>
    <row r="87" spans="5:31" x14ac:dyDescent="0.3">
      <c r="E87" s="42">
        <v>11.4</v>
      </c>
      <c r="F87" s="54">
        <v>55</v>
      </c>
      <c r="G87" s="26">
        <v>57.629913098939653</v>
      </c>
      <c r="H87" s="34"/>
      <c r="I87" s="1"/>
      <c r="J87" s="1"/>
      <c r="K87" s="1"/>
      <c r="L87" s="1"/>
      <c r="M87" s="1"/>
      <c r="N87" s="1"/>
      <c r="O87" s="1"/>
      <c r="P87" s="1"/>
      <c r="Q87" s="1"/>
      <c r="R87" s="1"/>
      <c r="S87" s="1"/>
      <c r="T87" s="1"/>
      <c r="U87" s="1"/>
      <c r="V87" s="1"/>
      <c r="W87" s="1"/>
      <c r="X87" s="1"/>
      <c r="Y87" s="1"/>
      <c r="Z87" s="1"/>
      <c r="AA87" s="1"/>
      <c r="AB87" s="1"/>
      <c r="AC87" s="1"/>
      <c r="AD87" s="1"/>
      <c r="AE87" s="26"/>
    </row>
    <row r="88" spans="5:31" x14ac:dyDescent="0.3">
      <c r="E88" s="42">
        <v>11.8</v>
      </c>
      <c r="F88" s="54">
        <v>48</v>
      </c>
      <c r="G88" s="26">
        <v>59.502790401020498</v>
      </c>
      <c r="H88" s="34"/>
      <c r="I88" s="1"/>
      <c r="J88" s="1"/>
      <c r="K88" s="1"/>
      <c r="L88" s="1"/>
      <c r="M88" s="1"/>
      <c r="N88" s="1"/>
      <c r="O88" s="1"/>
      <c r="P88" s="1"/>
      <c r="Q88" s="1"/>
      <c r="R88" s="1"/>
      <c r="S88" s="1"/>
      <c r="T88" s="1"/>
      <c r="U88" s="1"/>
      <c r="V88" s="1"/>
      <c r="W88" s="1"/>
      <c r="X88" s="1"/>
      <c r="Y88" s="1"/>
      <c r="Z88" s="1"/>
      <c r="AA88" s="1"/>
      <c r="AB88" s="1"/>
      <c r="AC88" s="1"/>
      <c r="AD88" s="1"/>
      <c r="AE88" s="26"/>
    </row>
    <row r="89" spans="5:31" x14ac:dyDescent="0.3">
      <c r="E89" s="42">
        <v>11.9</v>
      </c>
      <c r="F89" s="54">
        <v>67</v>
      </c>
      <c r="G89" s="55">
        <v>59.971009726540707</v>
      </c>
      <c r="H89" s="34"/>
      <c r="I89" s="1"/>
      <c r="J89" s="1"/>
      <c r="K89" s="1"/>
      <c r="L89" s="1"/>
      <c r="M89" s="1"/>
      <c r="N89" s="1"/>
      <c r="O89" s="1"/>
      <c r="P89" s="1"/>
      <c r="Q89" s="1"/>
      <c r="R89" s="1"/>
      <c r="S89" s="1"/>
      <c r="T89" s="1"/>
      <c r="U89" s="1"/>
      <c r="V89" s="1"/>
      <c r="W89" s="1"/>
      <c r="X89" s="1"/>
      <c r="Y89" s="1"/>
      <c r="Z89" s="1"/>
      <c r="AA89" s="1"/>
      <c r="AB89" s="1"/>
      <c r="AC89" s="1"/>
      <c r="AD89" s="1"/>
      <c r="AE89" s="26"/>
    </row>
    <row r="90" spans="5:31" x14ac:dyDescent="0.3">
      <c r="E90" s="42">
        <v>13.9</v>
      </c>
      <c r="F90" s="54">
        <v>75</v>
      </c>
      <c r="G90" s="26">
        <v>69.335396236944916</v>
      </c>
      <c r="H90" s="34"/>
      <c r="I90" s="1"/>
      <c r="J90" s="1"/>
      <c r="K90" s="1"/>
      <c r="L90" s="1"/>
      <c r="M90" s="1"/>
      <c r="N90" s="1"/>
      <c r="O90" s="1"/>
      <c r="P90" s="1"/>
      <c r="Q90" s="1"/>
      <c r="R90" s="1"/>
      <c r="S90" s="1"/>
      <c r="T90" s="1"/>
      <c r="U90" s="1"/>
      <c r="V90" s="1"/>
      <c r="W90" s="1"/>
      <c r="X90" s="1"/>
      <c r="Y90" s="1"/>
      <c r="Z90" s="1"/>
      <c r="AA90" s="1"/>
      <c r="AB90" s="1"/>
      <c r="AC90" s="1"/>
      <c r="AD90" s="1"/>
      <c r="AE90" s="26"/>
    </row>
    <row r="91" spans="5:31" ht="15" thickBot="1" x14ac:dyDescent="0.35">
      <c r="E91" s="44">
        <v>14.7</v>
      </c>
      <c r="F91" s="59">
        <v>79</v>
      </c>
      <c r="G91" s="29">
        <v>73.081150841106606</v>
      </c>
      <c r="H91" s="34"/>
      <c r="I91" s="1"/>
      <c r="J91" s="1"/>
      <c r="K91" s="1"/>
      <c r="L91" s="1"/>
      <c r="M91" s="1"/>
      <c r="N91" s="1"/>
      <c r="O91" s="1"/>
      <c r="P91" s="1"/>
      <c r="Q91" s="1"/>
      <c r="R91" s="1"/>
      <c r="S91" s="1"/>
      <c r="T91" s="1"/>
      <c r="U91" s="1"/>
      <c r="V91" s="1"/>
      <c r="W91" s="1"/>
      <c r="X91" s="1"/>
      <c r="Y91" s="1"/>
      <c r="Z91" s="1"/>
      <c r="AA91" s="1"/>
      <c r="AB91" s="1"/>
      <c r="AC91" s="1"/>
      <c r="AD91" s="1"/>
      <c r="AE91" s="26"/>
    </row>
    <row r="92" spans="5:31" x14ac:dyDescent="0.3">
      <c r="E92" s="52"/>
      <c r="F92" s="35"/>
      <c r="G92" s="35"/>
      <c r="H92" s="1"/>
      <c r="I92" s="1"/>
      <c r="J92" s="1"/>
      <c r="K92" s="1"/>
      <c r="L92" s="1"/>
      <c r="M92" s="1"/>
      <c r="N92" s="1"/>
      <c r="O92" s="1"/>
      <c r="P92" s="1"/>
      <c r="Q92" s="1"/>
      <c r="R92" s="1"/>
      <c r="S92" s="1"/>
      <c r="T92" s="1"/>
      <c r="U92" s="1"/>
      <c r="V92" s="1"/>
      <c r="W92" s="1"/>
      <c r="X92" s="1"/>
      <c r="Y92" s="1"/>
      <c r="Z92" s="1"/>
      <c r="AA92" s="1"/>
      <c r="AB92" s="1"/>
      <c r="AC92" s="1"/>
      <c r="AD92" s="1"/>
      <c r="AE92" s="26"/>
    </row>
    <row r="93" spans="5:31" x14ac:dyDescent="0.3">
      <c r="E93" s="2"/>
      <c r="F93" s="1"/>
      <c r="G93" s="1"/>
      <c r="H93" s="1"/>
      <c r="I93" s="1"/>
      <c r="J93" s="1"/>
      <c r="K93" s="1"/>
      <c r="L93" s="1"/>
      <c r="M93" s="1"/>
      <c r="N93" s="1"/>
      <c r="O93" s="1"/>
      <c r="P93" s="1"/>
      <c r="Q93" s="1"/>
      <c r="R93" s="1"/>
      <c r="S93" s="1"/>
      <c r="T93" s="1"/>
      <c r="U93" s="1"/>
      <c r="V93" s="1"/>
      <c r="W93" s="1"/>
      <c r="X93" s="1"/>
      <c r="Y93" s="1"/>
      <c r="Z93" s="1"/>
      <c r="AA93" s="1"/>
      <c r="AB93" s="1"/>
      <c r="AC93" s="1"/>
      <c r="AD93" s="1"/>
      <c r="AE93" s="26"/>
    </row>
    <row r="94" spans="5:31" x14ac:dyDescent="0.3">
      <c r="E94" s="2"/>
      <c r="F94" s="1"/>
      <c r="G94" s="1"/>
      <c r="H94" s="1"/>
      <c r="I94" s="1"/>
      <c r="J94" s="1"/>
      <c r="K94" s="1"/>
      <c r="L94" s="1"/>
      <c r="M94" s="1"/>
      <c r="N94" s="1"/>
      <c r="O94" s="1"/>
      <c r="P94" s="1"/>
      <c r="Q94" s="1"/>
      <c r="R94" s="1"/>
      <c r="S94" s="1"/>
      <c r="T94" s="1"/>
      <c r="U94" s="1"/>
      <c r="V94" s="1"/>
      <c r="W94" s="1"/>
      <c r="X94" s="1"/>
      <c r="Y94" s="1"/>
      <c r="Z94" s="1"/>
      <c r="AA94" s="1"/>
      <c r="AB94" s="1"/>
      <c r="AC94" s="1"/>
      <c r="AD94" s="1"/>
      <c r="AE94" s="26"/>
    </row>
    <row r="95" spans="5:31" x14ac:dyDescent="0.3">
      <c r="E95" s="2"/>
      <c r="F95" s="1"/>
      <c r="G95" s="1"/>
      <c r="H95" s="1"/>
      <c r="I95" s="1"/>
      <c r="J95" s="1"/>
      <c r="K95" s="1"/>
      <c r="L95" s="1"/>
      <c r="M95" s="1"/>
      <c r="N95" s="1"/>
      <c r="O95" s="1"/>
      <c r="P95" s="1"/>
      <c r="Q95" s="1"/>
      <c r="R95" s="1"/>
      <c r="S95" s="1"/>
      <c r="T95" s="1"/>
      <c r="U95" s="1"/>
      <c r="V95" s="1"/>
      <c r="W95" s="1"/>
      <c r="X95" s="1"/>
      <c r="Y95" s="1"/>
      <c r="Z95" s="1"/>
      <c r="AA95" s="1"/>
      <c r="AB95" s="1"/>
      <c r="AC95" s="1"/>
      <c r="AD95" s="1"/>
      <c r="AE95" s="26"/>
    </row>
    <row r="96" spans="5:31" x14ac:dyDescent="0.3">
      <c r="E96" s="2"/>
      <c r="F96" s="1"/>
      <c r="G96" s="1"/>
      <c r="H96" s="1"/>
      <c r="I96" s="1"/>
      <c r="J96" s="1"/>
      <c r="K96" s="1"/>
      <c r="L96" s="1"/>
      <c r="M96" s="1"/>
      <c r="N96" s="1"/>
      <c r="O96" s="1"/>
      <c r="P96" s="1"/>
      <c r="Q96" s="1"/>
      <c r="R96" s="1"/>
      <c r="S96" s="1"/>
      <c r="T96" s="1"/>
      <c r="U96" s="1"/>
      <c r="V96" s="1"/>
      <c r="W96" s="1"/>
      <c r="X96" s="1"/>
      <c r="Y96" s="1"/>
      <c r="Z96" s="1"/>
      <c r="AA96" s="1"/>
      <c r="AB96" s="1"/>
      <c r="AC96" s="1"/>
      <c r="AD96" s="1"/>
      <c r="AE96" s="26"/>
    </row>
    <row r="97" spans="5:31" x14ac:dyDescent="0.3">
      <c r="E97" s="2"/>
      <c r="F97" s="1"/>
      <c r="G97" s="1"/>
      <c r="H97" s="1"/>
      <c r="I97" s="1"/>
      <c r="J97" s="1"/>
      <c r="K97" s="1"/>
      <c r="L97" s="1"/>
      <c r="M97" s="1"/>
      <c r="N97" s="1"/>
      <c r="O97" s="1"/>
      <c r="P97" s="1"/>
      <c r="Q97" s="1"/>
      <c r="R97" s="1"/>
      <c r="S97" s="1"/>
      <c r="T97" s="1"/>
      <c r="U97" s="1"/>
      <c r="V97" s="1"/>
      <c r="W97" s="1"/>
      <c r="X97" s="1"/>
      <c r="Y97" s="1"/>
      <c r="Z97" s="1"/>
      <c r="AA97" s="1"/>
      <c r="AB97" s="1"/>
      <c r="AC97" s="1"/>
      <c r="AD97" s="1"/>
      <c r="AE97" s="26"/>
    </row>
    <row r="98" spans="5:31" x14ac:dyDescent="0.3">
      <c r="E98" s="2"/>
      <c r="F98" s="1"/>
      <c r="G98" s="1"/>
      <c r="H98" s="1"/>
      <c r="I98" s="1"/>
      <c r="J98" s="1"/>
      <c r="K98" s="1"/>
      <c r="L98" s="1"/>
      <c r="M98" s="1"/>
      <c r="N98" s="1"/>
      <c r="O98" s="1"/>
      <c r="P98" s="1"/>
      <c r="Q98" s="1"/>
      <c r="R98" s="1"/>
      <c r="S98" s="1"/>
      <c r="T98" s="1"/>
      <c r="U98" s="1"/>
      <c r="V98" s="1"/>
      <c r="W98" s="1"/>
      <c r="X98" s="1"/>
      <c r="Y98" s="1"/>
      <c r="Z98" s="1"/>
      <c r="AA98" s="1"/>
      <c r="AB98" s="1"/>
      <c r="AC98" s="1"/>
      <c r="AD98" s="1"/>
      <c r="AE98" s="26"/>
    </row>
    <row r="99" spans="5:31" x14ac:dyDescent="0.3">
      <c r="E99" s="2"/>
      <c r="F99" s="1"/>
      <c r="G99" s="1"/>
      <c r="H99" s="1"/>
      <c r="I99" s="1"/>
      <c r="J99" s="1"/>
      <c r="K99" s="1"/>
      <c r="L99" s="1"/>
      <c r="M99" s="1"/>
      <c r="N99" s="1"/>
      <c r="O99" s="1"/>
      <c r="P99" s="1"/>
      <c r="Q99" s="1"/>
      <c r="R99" s="1"/>
      <c r="S99" s="1"/>
      <c r="T99" s="1"/>
      <c r="U99" s="1"/>
      <c r="V99" s="1"/>
      <c r="W99" s="1"/>
      <c r="X99" s="1"/>
      <c r="Y99" s="1"/>
      <c r="Z99" s="1"/>
      <c r="AA99" s="1"/>
      <c r="AB99" s="1"/>
      <c r="AC99" s="1"/>
      <c r="AD99" s="1"/>
      <c r="AE99" s="26"/>
    </row>
    <row r="100" spans="5:31" x14ac:dyDescent="0.3">
      <c r="E100" s="2"/>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26"/>
    </row>
    <row r="101" spans="5:31" x14ac:dyDescent="0.3">
      <c r="E101" s="2"/>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26"/>
    </row>
    <row r="102" spans="5:31" x14ac:dyDescent="0.3">
      <c r="E102" s="2"/>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26"/>
    </row>
    <row r="103" spans="5:31" x14ac:dyDescent="0.3">
      <c r="E103" s="2"/>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26"/>
    </row>
    <row r="104" spans="5:31" x14ac:dyDescent="0.3">
      <c r="E104" s="2"/>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26"/>
    </row>
    <row r="105" spans="5:31" x14ac:dyDescent="0.3">
      <c r="E105" s="2"/>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26"/>
    </row>
    <row r="106" spans="5:31" x14ac:dyDescent="0.3">
      <c r="E106" s="2"/>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26"/>
    </row>
    <row r="107" spans="5:31" x14ac:dyDescent="0.3">
      <c r="E107" s="2"/>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26"/>
    </row>
    <row r="108" spans="5:31" x14ac:dyDescent="0.3">
      <c r="E108" s="2"/>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26"/>
    </row>
    <row r="109" spans="5:31" x14ac:dyDescent="0.3">
      <c r="E109" s="2"/>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26"/>
    </row>
    <row r="110" spans="5:31" x14ac:dyDescent="0.3">
      <c r="E110" s="2"/>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26"/>
    </row>
    <row r="111" spans="5:31" x14ac:dyDescent="0.3">
      <c r="E111" s="2"/>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26"/>
    </row>
    <row r="112" spans="5:31" x14ac:dyDescent="0.3">
      <c r="E112" s="2"/>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26"/>
    </row>
    <row r="113" spans="5:31" x14ac:dyDescent="0.3">
      <c r="E113" s="2"/>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26"/>
    </row>
    <row r="114" spans="5:31" x14ac:dyDescent="0.3">
      <c r="E114" s="2"/>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26"/>
    </row>
    <row r="115" spans="5:31" x14ac:dyDescent="0.3">
      <c r="E115" s="2"/>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26"/>
    </row>
    <row r="116" spans="5:31" x14ac:dyDescent="0.3">
      <c r="E116" s="2"/>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26"/>
    </row>
    <row r="117" spans="5:31" x14ac:dyDescent="0.3">
      <c r="E117" s="2"/>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26"/>
    </row>
    <row r="118" spans="5:31" x14ac:dyDescent="0.3">
      <c r="E118" s="2"/>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26"/>
    </row>
    <row r="119" spans="5:31" x14ac:dyDescent="0.3">
      <c r="E119" s="2"/>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26"/>
    </row>
    <row r="120" spans="5:31" x14ac:dyDescent="0.3">
      <c r="E120" s="2"/>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26"/>
    </row>
    <row r="121" spans="5:31" x14ac:dyDescent="0.3">
      <c r="E121" s="2"/>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26"/>
    </row>
    <row r="122" spans="5:31" x14ac:dyDescent="0.3">
      <c r="E122" s="2"/>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26"/>
    </row>
    <row r="123" spans="5:31" x14ac:dyDescent="0.3">
      <c r="E123" s="2"/>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26"/>
    </row>
    <row r="124" spans="5:31" x14ac:dyDescent="0.3">
      <c r="E124" s="2"/>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26"/>
    </row>
    <row r="125" spans="5:31" x14ac:dyDescent="0.3">
      <c r="E125" s="2"/>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26"/>
    </row>
    <row r="126" spans="5:31" x14ac:dyDescent="0.3">
      <c r="E126" s="2"/>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26"/>
    </row>
    <row r="127" spans="5:31" x14ac:dyDescent="0.3">
      <c r="E127" s="2"/>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26"/>
    </row>
    <row r="128" spans="5:31" x14ac:dyDescent="0.3">
      <c r="E128" s="2"/>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26"/>
    </row>
    <row r="129" spans="5:31" x14ac:dyDescent="0.3">
      <c r="E129" s="2"/>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26"/>
    </row>
    <row r="130" spans="5:31" x14ac:dyDescent="0.3">
      <c r="E130" s="2"/>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26"/>
    </row>
    <row r="131" spans="5:31" x14ac:dyDescent="0.3">
      <c r="E131" s="2"/>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26"/>
    </row>
    <row r="132" spans="5:31" x14ac:dyDescent="0.3">
      <c r="E132" s="2"/>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26"/>
    </row>
    <row r="133" spans="5:31" x14ac:dyDescent="0.3">
      <c r="E133" s="2"/>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26"/>
    </row>
    <row r="134" spans="5:31" x14ac:dyDescent="0.3">
      <c r="E134" s="2"/>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26"/>
    </row>
    <row r="135" spans="5:31" x14ac:dyDescent="0.3">
      <c r="E135" s="2"/>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26"/>
    </row>
    <row r="136" spans="5:31" x14ac:dyDescent="0.3">
      <c r="E136" s="2"/>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26"/>
    </row>
    <row r="137" spans="5:31" x14ac:dyDescent="0.3">
      <c r="E137" s="2"/>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26"/>
    </row>
    <row r="138" spans="5:31" x14ac:dyDescent="0.3">
      <c r="E138" s="2"/>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26"/>
    </row>
    <row r="139" spans="5:31" x14ac:dyDescent="0.3">
      <c r="E139" s="2"/>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26"/>
    </row>
    <row r="140" spans="5:31" x14ac:dyDescent="0.3">
      <c r="E140" s="2"/>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26"/>
    </row>
    <row r="141" spans="5:31" x14ac:dyDescent="0.3">
      <c r="E141" s="2"/>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26"/>
    </row>
    <row r="142" spans="5:31" x14ac:dyDescent="0.3">
      <c r="E142" s="2"/>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26"/>
    </row>
    <row r="143" spans="5:31" x14ac:dyDescent="0.3">
      <c r="E143" s="2"/>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26"/>
    </row>
    <row r="144" spans="5:31" x14ac:dyDescent="0.3">
      <c r="E144" s="2"/>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26"/>
    </row>
    <row r="145" spans="5:31" x14ac:dyDescent="0.3">
      <c r="E145" s="2"/>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26"/>
    </row>
    <row r="146" spans="5:31" x14ac:dyDescent="0.3">
      <c r="E146" s="2"/>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26"/>
    </row>
    <row r="147" spans="5:31" x14ac:dyDescent="0.3">
      <c r="E147" s="2"/>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26"/>
    </row>
    <row r="148" spans="5:31" x14ac:dyDescent="0.3">
      <c r="E148" s="2"/>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26"/>
    </row>
    <row r="149" spans="5:31" x14ac:dyDescent="0.3">
      <c r="E149" s="2"/>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26"/>
    </row>
    <row r="150" spans="5:31" x14ac:dyDescent="0.3">
      <c r="E150" s="2"/>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26"/>
    </row>
    <row r="151" spans="5:31" x14ac:dyDescent="0.3">
      <c r="E151" s="2"/>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26"/>
    </row>
    <row r="152" spans="5:31" x14ac:dyDescent="0.3">
      <c r="E152" s="2"/>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26"/>
    </row>
    <row r="153" spans="5:31" x14ac:dyDescent="0.3">
      <c r="E153" s="2"/>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26"/>
    </row>
    <row r="154" spans="5:31" x14ac:dyDescent="0.3">
      <c r="E154" s="2"/>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26"/>
    </row>
    <row r="155" spans="5:31" x14ac:dyDescent="0.3">
      <c r="E155" s="2"/>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26"/>
    </row>
    <row r="156" spans="5:31" x14ac:dyDescent="0.3">
      <c r="E156" s="2"/>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26"/>
    </row>
    <row r="157" spans="5:31" x14ac:dyDescent="0.3">
      <c r="E157" s="2"/>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26"/>
    </row>
    <row r="158" spans="5:31" x14ac:dyDescent="0.3">
      <c r="E158" s="2"/>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26"/>
    </row>
    <row r="159" spans="5:31" x14ac:dyDescent="0.3">
      <c r="E159" s="2"/>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26"/>
    </row>
    <row r="160" spans="5:31" x14ac:dyDescent="0.3">
      <c r="E160" s="2"/>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26"/>
    </row>
    <row r="161" spans="5:31" x14ac:dyDescent="0.3">
      <c r="E161" s="2"/>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26"/>
    </row>
    <row r="162" spans="5:31" x14ac:dyDescent="0.3">
      <c r="E162" s="2"/>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26"/>
    </row>
    <row r="163" spans="5:31" x14ac:dyDescent="0.3">
      <c r="E163" s="2"/>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26"/>
    </row>
    <row r="164" spans="5:31" x14ac:dyDescent="0.3">
      <c r="E164" s="2"/>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26"/>
    </row>
    <row r="165" spans="5:31" x14ac:dyDescent="0.3">
      <c r="E165" s="2"/>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26"/>
    </row>
    <row r="166" spans="5:31" x14ac:dyDescent="0.3">
      <c r="E166" s="2"/>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26"/>
    </row>
    <row r="167" spans="5:31" x14ac:dyDescent="0.3">
      <c r="E167" s="2"/>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26"/>
    </row>
    <row r="168" spans="5:31" x14ac:dyDescent="0.3">
      <c r="E168" s="2"/>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26"/>
    </row>
    <row r="169" spans="5:31" x14ac:dyDescent="0.3">
      <c r="E169" s="2"/>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26"/>
    </row>
    <row r="170" spans="5:31" x14ac:dyDescent="0.3">
      <c r="E170" s="2"/>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26"/>
    </row>
    <row r="171" spans="5:31" x14ac:dyDescent="0.3">
      <c r="E171" s="2"/>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26"/>
    </row>
    <row r="172" spans="5:31" x14ac:dyDescent="0.3">
      <c r="E172" s="2"/>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26"/>
    </row>
    <row r="173" spans="5:31" x14ac:dyDescent="0.3">
      <c r="E173" s="2"/>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26"/>
    </row>
    <row r="174" spans="5:31" x14ac:dyDescent="0.3">
      <c r="E174" s="2"/>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26"/>
    </row>
    <row r="175" spans="5:31" x14ac:dyDescent="0.3">
      <c r="E175" s="2"/>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26"/>
    </row>
    <row r="176" spans="5:31" x14ac:dyDescent="0.3">
      <c r="E176" s="2"/>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26"/>
    </row>
    <row r="177" spans="5:31" x14ac:dyDescent="0.3">
      <c r="E177" s="2"/>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26"/>
    </row>
    <row r="178" spans="5:31" x14ac:dyDescent="0.3">
      <c r="E178" s="2"/>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26"/>
    </row>
    <row r="179" spans="5:31" x14ac:dyDescent="0.3">
      <c r="E179" s="2"/>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26"/>
    </row>
    <row r="180" spans="5:31" x14ac:dyDescent="0.3">
      <c r="E180" s="2"/>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26"/>
    </row>
    <row r="181" spans="5:31" x14ac:dyDescent="0.3">
      <c r="E181" s="2"/>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26"/>
    </row>
    <row r="182" spans="5:31" x14ac:dyDescent="0.3">
      <c r="E182" s="2"/>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26"/>
    </row>
    <row r="183" spans="5:31" x14ac:dyDescent="0.3">
      <c r="E183" s="2"/>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26"/>
    </row>
    <row r="184" spans="5:31" x14ac:dyDescent="0.3">
      <c r="E184" s="2"/>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26"/>
    </row>
    <row r="185" spans="5:31" x14ac:dyDescent="0.3">
      <c r="E185" s="2"/>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26"/>
    </row>
    <row r="186" spans="5:31" x14ac:dyDescent="0.3">
      <c r="E186" s="2"/>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26"/>
    </row>
    <row r="187" spans="5:31" x14ac:dyDescent="0.3">
      <c r="E187" s="2"/>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26"/>
    </row>
    <row r="188" spans="5:31" x14ac:dyDescent="0.3">
      <c r="E188" s="2"/>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26"/>
    </row>
    <row r="189" spans="5:31" x14ac:dyDescent="0.3">
      <c r="E189" s="2"/>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26"/>
    </row>
    <row r="190" spans="5:31" x14ac:dyDescent="0.3">
      <c r="E190" s="2"/>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26"/>
    </row>
    <row r="191" spans="5:31" x14ac:dyDescent="0.3">
      <c r="E191" s="2"/>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26"/>
    </row>
    <row r="192" spans="5:31" x14ac:dyDescent="0.3">
      <c r="E192" s="2"/>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26"/>
    </row>
    <row r="193" spans="5:31" x14ac:dyDescent="0.3">
      <c r="E193" s="2"/>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26"/>
    </row>
    <row r="194" spans="5:31" x14ac:dyDescent="0.3">
      <c r="E194" s="2"/>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26"/>
    </row>
    <row r="195" spans="5:31" x14ac:dyDescent="0.3">
      <c r="E195" s="2"/>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26"/>
    </row>
    <row r="196" spans="5:31" x14ac:dyDescent="0.3">
      <c r="E196" s="2"/>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26"/>
    </row>
    <row r="197" spans="5:31" x14ac:dyDescent="0.3">
      <c r="E197" s="2"/>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26"/>
    </row>
    <row r="198" spans="5:31" x14ac:dyDescent="0.3">
      <c r="E198" s="2"/>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26"/>
    </row>
    <row r="199" spans="5:31" x14ac:dyDescent="0.3">
      <c r="E199" s="2"/>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26"/>
    </row>
    <row r="200" spans="5:31" x14ac:dyDescent="0.3">
      <c r="E200" s="2"/>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26"/>
    </row>
    <row r="201" spans="5:31" x14ac:dyDescent="0.3">
      <c r="E201" s="2"/>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26"/>
    </row>
    <row r="202" spans="5:31" x14ac:dyDescent="0.3">
      <c r="E202" s="2"/>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26"/>
    </row>
    <row r="203" spans="5:31" x14ac:dyDescent="0.3">
      <c r="E203" s="2"/>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26"/>
    </row>
    <row r="204" spans="5:31" x14ac:dyDescent="0.3">
      <c r="E204" s="2"/>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26"/>
    </row>
    <row r="205" spans="5:31" x14ac:dyDescent="0.3">
      <c r="E205" s="2"/>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26"/>
    </row>
    <row r="206" spans="5:31" x14ac:dyDescent="0.3">
      <c r="E206" s="2"/>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26"/>
    </row>
    <row r="207" spans="5:31" x14ac:dyDescent="0.3">
      <c r="E207" s="2"/>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26"/>
    </row>
    <row r="208" spans="5:31" x14ac:dyDescent="0.3">
      <c r="E208" s="2"/>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26"/>
    </row>
    <row r="209" spans="5:31" x14ac:dyDescent="0.3">
      <c r="E209" s="2"/>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26"/>
    </row>
    <row r="210" spans="5:31" x14ac:dyDescent="0.3">
      <c r="E210" s="2"/>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26"/>
    </row>
    <row r="211" spans="5:31" x14ac:dyDescent="0.3">
      <c r="E211" s="2"/>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26"/>
    </row>
    <row r="212" spans="5:31" x14ac:dyDescent="0.3">
      <c r="E212" s="2"/>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26"/>
    </row>
    <row r="213" spans="5:31" x14ac:dyDescent="0.3">
      <c r="E213" s="2"/>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26"/>
    </row>
    <row r="214" spans="5:31" x14ac:dyDescent="0.3">
      <c r="E214" s="2"/>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26"/>
    </row>
    <row r="215" spans="5:31" x14ac:dyDescent="0.3">
      <c r="E215" s="2"/>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26"/>
    </row>
    <row r="216" spans="5:31" x14ac:dyDescent="0.3">
      <c r="E216" s="2"/>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26"/>
    </row>
    <row r="217" spans="5:31" x14ac:dyDescent="0.3">
      <c r="E217" s="2"/>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26"/>
    </row>
    <row r="218" spans="5:31" x14ac:dyDescent="0.3">
      <c r="E218" s="2"/>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26"/>
    </row>
    <row r="219" spans="5:31" x14ac:dyDescent="0.3">
      <c r="E219" s="2"/>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26"/>
    </row>
    <row r="220" spans="5:31" x14ac:dyDescent="0.3">
      <c r="E220" s="2"/>
      <c r="F220" s="1"/>
      <c r="G220" s="1"/>
      <c r="H220" s="1"/>
      <c r="I220" s="1"/>
      <c r="J220" s="1"/>
      <c r="K220" s="1"/>
      <c r="L220" s="1"/>
      <c r="M220" s="1"/>
      <c r="N220" s="1"/>
      <c r="O220" s="1"/>
      <c r="P220" s="1"/>
      <c r="Q220" s="1"/>
      <c r="R220" s="1"/>
      <c r="S220" s="1"/>
      <c r="T220" s="1"/>
      <c r="U220" s="34"/>
      <c r="V220" s="1"/>
      <c r="W220" s="1"/>
      <c r="X220" s="1"/>
      <c r="Y220" s="1"/>
      <c r="Z220" s="1"/>
      <c r="AA220" s="1"/>
      <c r="AB220" s="1"/>
      <c r="AC220" s="1"/>
      <c r="AD220" s="1"/>
      <c r="AE220" s="26"/>
    </row>
    <row r="221" spans="5:31" x14ac:dyDescent="0.3">
      <c r="E221" s="2"/>
      <c r="F221" s="1"/>
      <c r="G221" s="1"/>
      <c r="H221" s="1"/>
      <c r="I221" s="1"/>
      <c r="J221" s="1"/>
      <c r="K221" s="1"/>
      <c r="L221" s="1"/>
      <c r="M221" s="1"/>
      <c r="N221" s="1"/>
      <c r="O221" s="1"/>
      <c r="P221" s="1"/>
      <c r="Q221" s="1"/>
      <c r="R221" s="1"/>
      <c r="S221" s="1"/>
      <c r="T221" s="1"/>
      <c r="U221" s="34"/>
      <c r="V221" s="1"/>
      <c r="W221" s="1"/>
      <c r="X221" s="1"/>
      <c r="Y221" s="1"/>
      <c r="Z221" s="1"/>
      <c r="AA221" s="1"/>
      <c r="AB221" s="1"/>
      <c r="AC221" s="1"/>
      <c r="AD221" s="1"/>
      <c r="AE221" s="26"/>
    </row>
    <row r="222" spans="5:31" x14ac:dyDescent="0.3">
      <c r="E222" s="2"/>
      <c r="F222" s="1"/>
      <c r="G222" s="1"/>
      <c r="H222" s="1"/>
      <c r="I222" s="1"/>
      <c r="J222" s="1"/>
      <c r="K222" s="1"/>
      <c r="L222" s="1"/>
      <c r="M222" s="1"/>
      <c r="N222" s="1"/>
      <c r="O222" s="1"/>
      <c r="P222" s="1"/>
      <c r="Q222" s="1"/>
      <c r="R222" s="1"/>
      <c r="S222" s="1"/>
      <c r="T222" s="1"/>
      <c r="U222" s="34"/>
      <c r="V222" s="1"/>
      <c r="W222" s="1"/>
      <c r="X222" s="1"/>
      <c r="Y222" s="1"/>
      <c r="Z222" s="1"/>
      <c r="AA222" s="1"/>
      <c r="AB222" s="1"/>
      <c r="AC222" s="1"/>
      <c r="AD222" s="1"/>
      <c r="AE222" s="26"/>
    </row>
    <row r="223" spans="5:31" x14ac:dyDescent="0.3">
      <c r="E223" s="2"/>
      <c r="F223" s="1"/>
      <c r="G223" s="1"/>
      <c r="H223" s="1"/>
      <c r="I223" s="1"/>
      <c r="J223" s="1"/>
      <c r="K223" s="1"/>
      <c r="L223" s="1"/>
      <c r="M223" s="1"/>
      <c r="N223" s="1"/>
      <c r="O223" s="1"/>
      <c r="P223" s="1"/>
      <c r="Q223" s="1"/>
      <c r="R223" s="1"/>
      <c r="S223" s="1"/>
      <c r="T223" s="1"/>
      <c r="U223" s="34"/>
      <c r="V223" s="1"/>
      <c r="W223" s="1"/>
      <c r="X223" s="1"/>
      <c r="Y223" s="1"/>
      <c r="Z223" s="1"/>
      <c r="AA223" s="1"/>
      <c r="AB223" s="1"/>
      <c r="AC223" s="1"/>
      <c r="AD223" s="1"/>
      <c r="AE223" s="26"/>
    </row>
    <row r="224" spans="5:31" x14ac:dyDescent="0.3">
      <c r="E224" s="2"/>
      <c r="F224" s="1"/>
      <c r="G224" s="1"/>
      <c r="H224" s="1"/>
      <c r="I224" s="1"/>
      <c r="J224" s="1"/>
      <c r="K224" s="1"/>
      <c r="L224" s="1"/>
      <c r="M224" s="1"/>
      <c r="N224" s="1"/>
      <c r="O224" s="1"/>
      <c r="P224" s="1"/>
      <c r="Q224" s="1"/>
      <c r="R224" s="1"/>
      <c r="S224" s="1"/>
      <c r="T224" s="1"/>
      <c r="U224" s="34"/>
      <c r="V224" s="1"/>
      <c r="W224" s="1"/>
      <c r="X224" s="1"/>
      <c r="Y224" s="1"/>
      <c r="Z224" s="1"/>
      <c r="AA224" s="1"/>
      <c r="AB224" s="1"/>
      <c r="AC224" s="1"/>
      <c r="AD224" s="1"/>
      <c r="AE224" s="26"/>
    </row>
    <row r="225" spans="5:31" x14ac:dyDescent="0.3">
      <c r="E225" s="2"/>
      <c r="F225" s="1"/>
      <c r="G225" s="1"/>
      <c r="H225" s="1"/>
      <c r="I225" s="1"/>
      <c r="J225" s="1"/>
      <c r="K225" s="1"/>
      <c r="L225" s="1"/>
      <c r="M225" s="1"/>
      <c r="N225" s="1"/>
      <c r="O225" s="1"/>
      <c r="P225" s="1"/>
      <c r="Q225" s="1"/>
      <c r="R225" s="1"/>
      <c r="S225" s="1"/>
      <c r="T225" s="1"/>
      <c r="U225" s="34"/>
      <c r="V225" s="1"/>
      <c r="W225" s="1"/>
      <c r="X225" s="1"/>
      <c r="Y225" s="1"/>
      <c r="Z225" s="1"/>
      <c r="AA225" s="1"/>
      <c r="AB225" s="1"/>
      <c r="AC225" s="1"/>
      <c r="AD225" s="1"/>
      <c r="AE225" s="26"/>
    </row>
    <row r="226" spans="5:31" x14ac:dyDescent="0.3">
      <c r="E226" s="2"/>
      <c r="F226" s="1"/>
      <c r="G226" s="1"/>
      <c r="H226" s="1"/>
      <c r="I226" s="1"/>
      <c r="J226" s="1"/>
      <c r="K226" s="1"/>
      <c r="L226" s="1"/>
      <c r="M226" s="1"/>
      <c r="N226" s="1"/>
      <c r="O226" s="1"/>
      <c r="P226" s="1"/>
      <c r="Q226" s="1"/>
      <c r="R226" s="1"/>
      <c r="S226" s="1"/>
      <c r="T226" s="1"/>
      <c r="U226" s="34"/>
      <c r="V226" s="1"/>
      <c r="W226" s="1"/>
      <c r="X226" s="1"/>
      <c r="Y226" s="1"/>
      <c r="Z226" s="1"/>
      <c r="AA226" s="1"/>
      <c r="AB226" s="1"/>
      <c r="AC226" s="1"/>
      <c r="AD226" s="1"/>
      <c r="AE226" s="26"/>
    </row>
    <row r="227" spans="5:31" x14ac:dyDescent="0.3">
      <c r="E227" s="2"/>
      <c r="F227" s="1"/>
      <c r="G227" s="1"/>
      <c r="H227" s="1"/>
      <c r="I227" s="1"/>
      <c r="J227" s="1"/>
      <c r="K227" s="1"/>
      <c r="L227" s="1"/>
      <c r="M227" s="1"/>
      <c r="N227" s="1"/>
      <c r="O227" s="1"/>
      <c r="P227" s="1"/>
      <c r="Q227" s="1"/>
      <c r="R227" s="1"/>
      <c r="S227" s="1"/>
      <c r="T227" s="1"/>
      <c r="U227" s="34"/>
      <c r="V227" s="1"/>
      <c r="W227" s="1"/>
      <c r="X227" s="1"/>
      <c r="Y227" s="1"/>
      <c r="Z227" s="1"/>
      <c r="AA227" s="1"/>
      <c r="AB227" s="1"/>
      <c r="AC227" s="1"/>
      <c r="AD227" s="1"/>
      <c r="AE227" s="26"/>
    </row>
    <row r="228" spans="5:31" x14ac:dyDescent="0.3">
      <c r="E228" s="2"/>
      <c r="F228" s="1"/>
      <c r="G228" s="1"/>
      <c r="H228" s="1"/>
      <c r="I228" s="1"/>
      <c r="J228" s="1"/>
      <c r="K228" s="1"/>
      <c r="L228" s="1"/>
      <c r="M228" s="1"/>
      <c r="N228" s="1"/>
      <c r="O228" s="1"/>
      <c r="P228" s="1"/>
      <c r="Q228" s="1"/>
      <c r="R228" s="1"/>
      <c r="S228" s="1"/>
      <c r="T228" s="1"/>
      <c r="U228" s="34"/>
      <c r="V228" s="1"/>
      <c r="W228" s="1"/>
      <c r="X228" s="1"/>
      <c r="Y228" s="1"/>
      <c r="Z228" s="1"/>
      <c r="AA228" s="1"/>
      <c r="AB228" s="1"/>
      <c r="AC228" s="1"/>
      <c r="AD228" s="1"/>
      <c r="AE228" s="26"/>
    </row>
    <row r="229" spans="5:31" x14ac:dyDescent="0.3">
      <c r="E229" s="2"/>
      <c r="F229" s="1"/>
      <c r="G229" s="1"/>
      <c r="H229" s="1"/>
      <c r="I229" s="1"/>
      <c r="J229" s="1"/>
      <c r="K229" s="1"/>
      <c r="L229" s="1"/>
      <c r="M229" s="1"/>
      <c r="N229" s="1"/>
      <c r="O229" s="1"/>
      <c r="P229" s="1"/>
      <c r="Q229" s="1"/>
      <c r="R229" s="1"/>
      <c r="S229" s="1"/>
      <c r="T229" s="1"/>
      <c r="U229" s="34"/>
      <c r="V229" s="1"/>
      <c r="W229" s="1"/>
      <c r="X229" s="1"/>
      <c r="Y229" s="1"/>
      <c r="Z229" s="1"/>
      <c r="AA229" s="1"/>
      <c r="AB229" s="1"/>
      <c r="AC229" s="1"/>
      <c r="AD229" s="1"/>
      <c r="AE229" s="26"/>
    </row>
    <row r="230" spans="5:31" x14ac:dyDescent="0.3">
      <c r="E230" s="2"/>
      <c r="F230" s="1"/>
      <c r="G230" s="1"/>
      <c r="H230" s="1"/>
      <c r="I230" s="1"/>
      <c r="J230" s="1"/>
      <c r="K230" s="1"/>
      <c r="L230" s="1"/>
      <c r="M230" s="1"/>
      <c r="N230" s="1"/>
      <c r="O230" s="1"/>
      <c r="P230" s="1"/>
      <c r="Q230" s="1"/>
      <c r="R230" s="1"/>
      <c r="S230" s="1"/>
      <c r="T230" s="1"/>
      <c r="U230" s="34"/>
      <c r="V230" s="1"/>
      <c r="W230" s="1"/>
      <c r="X230" s="1"/>
      <c r="Y230" s="1"/>
      <c r="Z230" s="1"/>
      <c r="AA230" s="1"/>
      <c r="AB230" s="1"/>
      <c r="AC230" s="1"/>
      <c r="AD230" s="1"/>
      <c r="AE230" s="26"/>
    </row>
    <row r="231" spans="5:31" x14ac:dyDescent="0.3">
      <c r="E231" s="2"/>
      <c r="F231" s="1"/>
      <c r="G231" s="1"/>
      <c r="H231" s="1"/>
      <c r="I231" s="1"/>
      <c r="J231" s="1"/>
      <c r="K231" s="1"/>
      <c r="L231" s="1"/>
      <c r="M231" s="1"/>
      <c r="N231" s="1"/>
      <c r="O231" s="1"/>
      <c r="P231" s="1"/>
      <c r="Q231" s="1"/>
      <c r="R231" s="1"/>
      <c r="S231" s="1"/>
      <c r="T231" s="1"/>
      <c r="U231" s="34"/>
      <c r="V231" s="1"/>
      <c r="W231" s="1"/>
      <c r="X231" s="1"/>
      <c r="Y231" s="1"/>
      <c r="Z231" s="1"/>
      <c r="AA231" s="1"/>
      <c r="AB231" s="1"/>
      <c r="AC231" s="1"/>
      <c r="AD231" s="1"/>
      <c r="AE231" s="26"/>
    </row>
    <row r="232" spans="5:31" x14ac:dyDescent="0.3">
      <c r="E232" s="2"/>
      <c r="F232" s="1"/>
      <c r="G232" s="1"/>
      <c r="H232" s="1"/>
      <c r="I232" s="1"/>
      <c r="J232" s="1"/>
      <c r="K232" s="1"/>
      <c r="L232" s="1"/>
      <c r="M232" s="1"/>
      <c r="N232" s="1"/>
      <c r="O232" s="1"/>
      <c r="P232" s="1"/>
      <c r="Q232" s="1"/>
      <c r="R232" s="1"/>
      <c r="S232" s="1"/>
      <c r="T232" s="1"/>
      <c r="U232" s="34"/>
      <c r="V232" s="1"/>
      <c r="W232" s="1"/>
      <c r="X232" s="1"/>
      <c r="Y232" s="1"/>
      <c r="Z232" s="1"/>
      <c r="AA232" s="1"/>
      <c r="AB232" s="1"/>
      <c r="AC232" s="1"/>
      <c r="AD232" s="1"/>
      <c r="AE232" s="26"/>
    </row>
    <row r="233" spans="5:31" x14ac:dyDescent="0.3">
      <c r="E233" s="2"/>
      <c r="F233" s="1"/>
      <c r="G233" s="1"/>
      <c r="H233" s="1"/>
      <c r="I233" s="1"/>
      <c r="J233" s="1"/>
      <c r="K233" s="1"/>
      <c r="L233" s="1"/>
      <c r="M233" s="1"/>
      <c r="N233" s="1"/>
      <c r="O233" s="1"/>
      <c r="P233" s="1"/>
      <c r="Q233" s="1"/>
      <c r="R233" s="1"/>
      <c r="S233" s="1"/>
      <c r="T233" s="1"/>
      <c r="U233" s="34"/>
      <c r="V233" s="1"/>
      <c r="W233" s="1"/>
      <c r="X233" s="1"/>
      <c r="Y233" s="1"/>
      <c r="Z233" s="1"/>
      <c r="AA233" s="1"/>
      <c r="AB233" s="1"/>
      <c r="AC233" s="1"/>
      <c r="AD233" s="1"/>
      <c r="AE233" s="26"/>
    </row>
    <row r="234" spans="5:31" x14ac:dyDescent="0.3">
      <c r="E234" s="2"/>
      <c r="F234" s="1"/>
      <c r="G234" s="1"/>
      <c r="H234" s="1"/>
      <c r="I234" s="1"/>
      <c r="J234" s="1"/>
      <c r="K234" s="1"/>
      <c r="L234" s="1"/>
      <c r="M234" s="1"/>
      <c r="N234" s="1"/>
      <c r="O234" s="1"/>
      <c r="P234" s="1"/>
      <c r="Q234" s="1"/>
      <c r="R234" s="1"/>
      <c r="S234" s="1"/>
      <c r="T234" s="1"/>
      <c r="U234" s="34"/>
      <c r="V234" s="1"/>
      <c r="W234" s="1"/>
      <c r="X234" s="1"/>
      <c r="Y234" s="1"/>
      <c r="Z234" s="1"/>
      <c r="AA234" s="1"/>
      <c r="AB234" s="1"/>
      <c r="AC234" s="1"/>
      <c r="AD234" s="1"/>
      <c r="AE234" s="26"/>
    </row>
    <row r="235" spans="5:31" x14ac:dyDescent="0.3">
      <c r="E235" s="2"/>
      <c r="F235" s="1"/>
      <c r="G235" s="1"/>
      <c r="H235" s="1"/>
      <c r="I235" s="1"/>
      <c r="J235" s="1"/>
      <c r="K235" s="1"/>
      <c r="L235" s="1"/>
      <c r="M235" s="1"/>
      <c r="N235" s="1"/>
      <c r="O235" s="1"/>
      <c r="P235" s="1"/>
      <c r="Q235" s="1"/>
      <c r="R235" s="1"/>
      <c r="S235" s="1"/>
      <c r="T235" s="1"/>
      <c r="U235" s="34"/>
      <c r="V235" s="1"/>
      <c r="W235" s="1"/>
      <c r="X235" s="1"/>
      <c r="Y235" s="1"/>
      <c r="Z235" s="1"/>
      <c r="AA235" s="1"/>
      <c r="AB235" s="1"/>
      <c r="AC235" s="1"/>
      <c r="AD235" s="1"/>
      <c r="AE235" s="26"/>
    </row>
    <row r="236" spans="5:31" x14ac:dyDescent="0.3">
      <c r="E236" s="2"/>
      <c r="F236" s="1"/>
      <c r="G236" s="1"/>
      <c r="H236" s="1"/>
      <c r="I236" s="1"/>
      <c r="J236" s="1"/>
      <c r="K236" s="1"/>
      <c r="L236" s="1"/>
      <c r="M236" s="1"/>
      <c r="N236" s="1"/>
      <c r="O236" s="1"/>
      <c r="P236" s="1"/>
      <c r="Q236" s="1"/>
      <c r="R236" s="1"/>
      <c r="S236" s="1"/>
      <c r="T236" s="1"/>
      <c r="U236" s="34"/>
      <c r="V236" s="1"/>
      <c r="W236" s="1"/>
      <c r="X236" s="1"/>
      <c r="Y236" s="1"/>
      <c r="Z236" s="1"/>
      <c r="AA236" s="1"/>
      <c r="AB236" s="1"/>
      <c r="AC236" s="1"/>
      <c r="AD236" s="1"/>
      <c r="AE236" s="26"/>
    </row>
    <row r="237" spans="5:31" x14ac:dyDescent="0.3">
      <c r="E237" s="2"/>
      <c r="F237" s="1"/>
      <c r="G237" s="1"/>
      <c r="H237" s="1"/>
      <c r="I237" s="1"/>
      <c r="J237" s="1"/>
      <c r="K237" s="1"/>
      <c r="L237" s="1"/>
      <c r="M237" s="1"/>
      <c r="N237" s="1"/>
      <c r="O237" s="1"/>
      <c r="P237" s="1"/>
      <c r="Q237" s="1"/>
      <c r="R237" s="1"/>
      <c r="S237" s="1"/>
      <c r="T237" s="1"/>
      <c r="U237" s="34"/>
      <c r="V237" s="1"/>
      <c r="W237" s="1"/>
      <c r="X237" s="1"/>
      <c r="Y237" s="1"/>
      <c r="Z237" s="1"/>
      <c r="AA237" s="1"/>
      <c r="AB237" s="1"/>
      <c r="AC237" s="1"/>
      <c r="AD237" s="1"/>
      <c r="AE237" s="26"/>
    </row>
    <row r="238" spans="5:31" x14ac:dyDescent="0.3">
      <c r="E238" s="2"/>
      <c r="F238" s="1"/>
      <c r="G238" s="1"/>
      <c r="H238" s="1"/>
      <c r="I238" s="1"/>
      <c r="J238" s="1"/>
      <c r="K238" s="1"/>
      <c r="L238" s="1"/>
      <c r="M238" s="1"/>
      <c r="N238" s="1"/>
      <c r="O238" s="1"/>
      <c r="P238" s="1"/>
      <c r="Q238" s="1"/>
      <c r="R238" s="1"/>
      <c r="S238" s="1"/>
      <c r="T238" s="1"/>
      <c r="U238" s="34"/>
      <c r="V238" s="1"/>
      <c r="W238" s="1"/>
      <c r="X238" s="1"/>
      <c r="Y238" s="1"/>
      <c r="Z238" s="1"/>
      <c r="AA238" s="1"/>
      <c r="AB238" s="1"/>
      <c r="AC238" s="1"/>
      <c r="AD238" s="1"/>
      <c r="AE238" s="26"/>
    </row>
    <row r="239" spans="5:31" x14ac:dyDescent="0.3">
      <c r="E239" s="2"/>
      <c r="F239" s="1"/>
      <c r="G239" s="1"/>
      <c r="H239" s="1"/>
      <c r="I239" s="1"/>
      <c r="J239" s="1"/>
      <c r="K239" s="1"/>
      <c r="L239" s="1"/>
      <c r="M239" s="1"/>
      <c r="N239" s="1"/>
      <c r="O239" s="1"/>
      <c r="P239" s="1"/>
      <c r="Q239" s="1"/>
      <c r="R239" s="1"/>
      <c r="S239" s="1"/>
      <c r="T239" s="1"/>
      <c r="U239" s="34"/>
      <c r="V239" s="1"/>
      <c r="W239" s="1"/>
      <c r="X239" s="1"/>
      <c r="Y239" s="1"/>
      <c r="Z239" s="1"/>
      <c r="AA239" s="1"/>
      <c r="AB239" s="1"/>
      <c r="AC239" s="1"/>
      <c r="AD239" s="1"/>
      <c r="AE239" s="26"/>
    </row>
    <row r="240" spans="5:31" x14ac:dyDescent="0.3">
      <c r="E240" s="2"/>
      <c r="F240" s="1"/>
      <c r="G240" s="1"/>
      <c r="H240" s="1"/>
      <c r="I240" s="1"/>
      <c r="J240" s="1"/>
      <c r="K240" s="1"/>
      <c r="L240" s="1"/>
      <c r="M240" s="1"/>
      <c r="N240" s="1"/>
      <c r="O240" s="1"/>
      <c r="P240" s="1"/>
      <c r="Q240" s="1"/>
      <c r="R240" s="1"/>
      <c r="S240" s="1"/>
      <c r="T240" s="1"/>
      <c r="U240" s="34"/>
      <c r="V240" s="1"/>
      <c r="W240" s="1"/>
      <c r="X240" s="1"/>
      <c r="Y240" s="1"/>
      <c r="Z240" s="1"/>
      <c r="AA240" s="1"/>
      <c r="AB240" s="1"/>
      <c r="AC240" s="1"/>
      <c r="AD240" s="1"/>
      <c r="AE240" s="26"/>
    </row>
    <row r="241" spans="5:31" x14ac:dyDescent="0.3">
      <c r="E241" s="2"/>
      <c r="F241" s="1"/>
      <c r="G241" s="1"/>
      <c r="H241" s="1"/>
      <c r="I241" s="1"/>
      <c r="J241" s="1"/>
      <c r="K241" s="1"/>
      <c r="L241" s="1"/>
      <c r="M241" s="1"/>
      <c r="N241" s="1"/>
      <c r="O241" s="1"/>
      <c r="P241" s="1"/>
      <c r="Q241" s="1"/>
      <c r="R241" s="1"/>
      <c r="S241" s="1"/>
      <c r="T241" s="1"/>
      <c r="U241" s="34"/>
      <c r="V241" s="1"/>
      <c r="W241" s="1"/>
      <c r="X241" s="1"/>
      <c r="Y241" s="1"/>
      <c r="Z241" s="1"/>
      <c r="AA241" s="1"/>
      <c r="AB241" s="1"/>
      <c r="AC241" s="1"/>
      <c r="AD241" s="1"/>
      <c r="AE241" s="26"/>
    </row>
    <row r="242" spans="5:31" x14ac:dyDescent="0.3">
      <c r="E242" s="2"/>
      <c r="F242" s="1"/>
      <c r="G242" s="1"/>
      <c r="H242" s="1"/>
      <c r="I242" s="1"/>
      <c r="J242" s="1"/>
      <c r="K242" s="1"/>
      <c r="L242" s="1"/>
      <c r="M242" s="1"/>
      <c r="N242" s="1"/>
      <c r="O242" s="1"/>
      <c r="P242" s="1"/>
      <c r="Q242" s="1"/>
      <c r="R242" s="1"/>
      <c r="S242" s="1"/>
      <c r="T242" s="1"/>
      <c r="U242" s="34"/>
      <c r="V242" s="1"/>
      <c r="W242" s="1"/>
      <c r="X242" s="1"/>
      <c r="Y242" s="1"/>
      <c r="Z242" s="1"/>
      <c r="AA242" s="1"/>
      <c r="AB242" s="1"/>
      <c r="AC242" s="1"/>
      <c r="AD242" s="1"/>
      <c r="AE242" s="26"/>
    </row>
    <row r="243" spans="5:31" x14ac:dyDescent="0.3">
      <c r="E243" s="2"/>
      <c r="F243" s="1"/>
      <c r="G243" s="1"/>
      <c r="H243" s="1"/>
      <c r="I243" s="1"/>
      <c r="J243" s="1"/>
      <c r="K243" s="1"/>
      <c r="L243" s="1"/>
      <c r="M243" s="1"/>
      <c r="N243" s="1"/>
      <c r="O243" s="1"/>
      <c r="P243" s="1"/>
      <c r="Q243" s="1"/>
      <c r="R243" s="1"/>
      <c r="S243" s="1"/>
      <c r="T243" s="1"/>
      <c r="U243" s="34"/>
      <c r="V243" s="1"/>
      <c r="W243" s="1"/>
      <c r="X243" s="1"/>
      <c r="Y243" s="1"/>
      <c r="Z243" s="1"/>
      <c r="AA243" s="1"/>
      <c r="AB243" s="1"/>
      <c r="AC243" s="1"/>
      <c r="AD243" s="1"/>
      <c r="AE243" s="26"/>
    </row>
    <row r="244" spans="5:31" x14ac:dyDescent="0.3">
      <c r="E244" s="2"/>
      <c r="F244" s="1"/>
      <c r="G244" s="1"/>
      <c r="H244" s="1"/>
      <c r="I244" s="1"/>
      <c r="J244" s="1"/>
      <c r="K244" s="1"/>
      <c r="L244" s="1"/>
      <c r="M244" s="1"/>
      <c r="N244" s="1"/>
      <c r="O244" s="1"/>
      <c r="P244" s="1"/>
      <c r="Q244" s="1"/>
      <c r="R244" s="1"/>
      <c r="S244" s="1"/>
      <c r="T244" s="1"/>
      <c r="U244" s="34"/>
      <c r="V244" s="1"/>
      <c r="W244" s="1"/>
      <c r="X244" s="1"/>
      <c r="Y244" s="1"/>
      <c r="Z244" s="1"/>
      <c r="AA244" s="1"/>
      <c r="AB244" s="1"/>
      <c r="AC244" s="1"/>
      <c r="AD244" s="1"/>
      <c r="AE244" s="26"/>
    </row>
    <row r="245" spans="5:31" x14ac:dyDescent="0.3">
      <c r="E245" s="2"/>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26"/>
    </row>
    <row r="246" spans="5:31" x14ac:dyDescent="0.3">
      <c r="E246" s="2"/>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26"/>
    </row>
    <row r="247" spans="5:31" x14ac:dyDescent="0.3">
      <c r="E247" s="2"/>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26"/>
    </row>
    <row r="248" spans="5:31" x14ac:dyDescent="0.3">
      <c r="E248" s="2"/>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26"/>
    </row>
    <row r="249" spans="5:31" x14ac:dyDescent="0.3">
      <c r="E249" s="2"/>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26"/>
    </row>
    <row r="250" spans="5:31" x14ac:dyDescent="0.3">
      <c r="E250" s="2"/>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26"/>
    </row>
    <row r="251" spans="5:31" x14ac:dyDescent="0.3">
      <c r="E251" s="2"/>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26"/>
    </row>
    <row r="252" spans="5:31" x14ac:dyDescent="0.3">
      <c r="E252" s="2"/>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26"/>
    </row>
    <row r="253" spans="5:31" x14ac:dyDescent="0.3">
      <c r="E253" s="2"/>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6"/>
    </row>
    <row r="254" spans="5:31" x14ac:dyDescent="0.3">
      <c r="E254" s="2"/>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6"/>
    </row>
    <row r="255" spans="5:31" x14ac:dyDescent="0.3">
      <c r="E255" s="2"/>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26"/>
    </row>
    <row r="256" spans="5:31" x14ac:dyDescent="0.3">
      <c r="E256" s="2"/>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26"/>
    </row>
    <row r="257" spans="5:31" x14ac:dyDescent="0.3">
      <c r="E257" s="2"/>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26"/>
    </row>
    <row r="258" spans="5:31" x14ac:dyDescent="0.3">
      <c r="E258" s="2"/>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26"/>
    </row>
    <row r="259" spans="5:31" x14ac:dyDescent="0.3">
      <c r="E259" s="2"/>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26"/>
    </row>
    <row r="260" spans="5:31" x14ac:dyDescent="0.3">
      <c r="E260" s="2"/>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26"/>
    </row>
    <row r="261" spans="5:31" x14ac:dyDescent="0.3">
      <c r="E261" s="2"/>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26"/>
    </row>
    <row r="262" spans="5:31" x14ac:dyDescent="0.3">
      <c r="E262" s="2"/>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26"/>
    </row>
    <row r="263" spans="5:31" x14ac:dyDescent="0.3">
      <c r="E263" s="2"/>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26"/>
    </row>
    <row r="264" spans="5:31" x14ac:dyDescent="0.3">
      <c r="E264" s="2"/>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26"/>
    </row>
    <row r="265" spans="5:31" x14ac:dyDescent="0.3">
      <c r="E265" s="2"/>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26"/>
    </row>
    <row r="266" spans="5:31" x14ac:dyDescent="0.3">
      <c r="E266" s="2"/>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26"/>
    </row>
    <row r="267" spans="5:31" x14ac:dyDescent="0.3">
      <c r="E267" s="2"/>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26"/>
    </row>
    <row r="268" spans="5:31" x14ac:dyDescent="0.3">
      <c r="E268" s="2"/>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26"/>
    </row>
    <row r="269" spans="5:31" x14ac:dyDescent="0.3">
      <c r="E269" s="2"/>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26"/>
    </row>
    <row r="270" spans="5:31" x14ac:dyDescent="0.3">
      <c r="E270" s="2"/>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26"/>
    </row>
    <row r="271" spans="5:31" x14ac:dyDescent="0.3">
      <c r="E271" s="2"/>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26"/>
    </row>
    <row r="272" spans="5:31" x14ac:dyDescent="0.3">
      <c r="E272" s="2"/>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26"/>
    </row>
    <row r="273" spans="5:31" x14ac:dyDescent="0.3">
      <c r="E273" s="2"/>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26"/>
    </row>
    <row r="274" spans="5:31" x14ac:dyDescent="0.3">
      <c r="E274" s="2"/>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26"/>
    </row>
    <row r="275" spans="5:31" x14ac:dyDescent="0.3">
      <c r="E275" s="2"/>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26"/>
    </row>
    <row r="276" spans="5:31" x14ac:dyDescent="0.3">
      <c r="E276" s="2"/>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26"/>
    </row>
    <row r="277" spans="5:31" x14ac:dyDescent="0.3">
      <c r="E277" s="2"/>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26"/>
    </row>
    <row r="278" spans="5:31" x14ac:dyDescent="0.3">
      <c r="E278" s="2"/>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26"/>
    </row>
    <row r="279" spans="5:31" x14ac:dyDescent="0.3">
      <c r="E279" s="2"/>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26"/>
    </row>
    <row r="280" spans="5:31" x14ac:dyDescent="0.3">
      <c r="E280" s="2"/>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26"/>
    </row>
    <row r="281" spans="5:31" x14ac:dyDescent="0.3">
      <c r="E281" s="2"/>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26"/>
    </row>
    <row r="282" spans="5:31" x14ac:dyDescent="0.3">
      <c r="E282" s="2"/>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26"/>
    </row>
    <row r="283" spans="5:31" x14ac:dyDescent="0.3">
      <c r="E283" s="2"/>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26"/>
    </row>
    <row r="284" spans="5:31" x14ac:dyDescent="0.3">
      <c r="E284" s="2"/>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26"/>
    </row>
    <row r="285" spans="5:31" x14ac:dyDescent="0.3">
      <c r="E285" s="2"/>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26"/>
    </row>
    <row r="286" spans="5:31" x14ac:dyDescent="0.3">
      <c r="E286" s="2"/>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26"/>
    </row>
    <row r="287" spans="5:31" x14ac:dyDescent="0.3">
      <c r="E287" s="2"/>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26"/>
    </row>
    <row r="288" spans="5:31" x14ac:dyDescent="0.3">
      <c r="E288" s="2"/>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26"/>
    </row>
    <row r="289" spans="5:31" x14ac:dyDescent="0.3">
      <c r="E289" s="2"/>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26"/>
    </row>
    <row r="290" spans="5:31" x14ac:dyDescent="0.3">
      <c r="E290" s="2"/>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26"/>
    </row>
    <row r="291" spans="5:31" x14ac:dyDescent="0.3">
      <c r="E291" s="2"/>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26"/>
    </row>
    <row r="292" spans="5:31" x14ac:dyDescent="0.3">
      <c r="E292" s="2"/>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26"/>
    </row>
    <row r="293" spans="5:31" x14ac:dyDescent="0.3">
      <c r="E293" s="2"/>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26"/>
    </row>
    <row r="294" spans="5:31" x14ac:dyDescent="0.3">
      <c r="E294" s="2"/>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26"/>
    </row>
    <row r="295" spans="5:31" x14ac:dyDescent="0.3">
      <c r="E295" s="2"/>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26"/>
    </row>
    <row r="296" spans="5:31" x14ac:dyDescent="0.3">
      <c r="E296" s="2"/>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26"/>
    </row>
    <row r="297" spans="5:31" x14ac:dyDescent="0.3">
      <c r="E297" s="2"/>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26"/>
    </row>
    <row r="298" spans="5:31" x14ac:dyDescent="0.3">
      <c r="E298" s="2"/>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26"/>
    </row>
    <row r="299" spans="5:31" x14ac:dyDescent="0.3">
      <c r="E299" s="2"/>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26"/>
    </row>
    <row r="300" spans="5:31" x14ac:dyDescent="0.3">
      <c r="E300" s="2"/>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26"/>
    </row>
    <row r="301" spans="5:31" x14ac:dyDescent="0.3">
      <c r="E301" s="2"/>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26"/>
    </row>
    <row r="302" spans="5:31" x14ac:dyDescent="0.3">
      <c r="E302" s="2"/>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26"/>
    </row>
    <row r="303" spans="5:31" x14ac:dyDescent="0.3">
      <c r="E303" s="2"/>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26"/>
    </row>
    <row r="304" spans="5:31" x14ac:dyDescent="0.3">
      <c r="E304" s="2"/>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26"/>
    </row>
    <row r="305" spans="5:31" x14ac:dyDescent="0.3">
      <c r="E305" s="2"/>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26"/>
    </row>
    <row r="306" spans="5:31" x14ac:dyDescent="0.3">
      <c r="E306" s="2"/>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26"/>
    </row>
    <row r="307" spans="5:31" x14ac:dyDescent="0.3">
      <c r="E307" s="2"/>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6"/>
    </row>
    <row r="308" spans="5:31" x14ac:dyDescent="0.3">
      <c r="E308" s="2"/>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6"/>
    </row>
    <row r="309" spans="5:31" x14ac:dyDescent="0.3">
      <c r="E309" s="2"/>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6"/>
    </row>
    <row r="310" spans="5:31" x14ac:dyDescent="0.3">
      <c r="E310" s="2"/>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6"/>
    </row>
    <row r="311" spans="5:31" x14ac:dyDescent="0.3">
      <c r="E311" s="2"/>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6"/>
    </row>
    <row r="312" spans="5:31" x14ac:dyDescent="0.3">
      <c r="E312" s="2"/>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6"/>
    </row>
    <row r="313" spans="5:31" x14ac:dyDescent="0.3">
      <c r="E313" s="2"/>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6"/>
    </row>
    <row r="314" spans="5:31" x14ac:dyDescent="0.3">
      <c r="E314" s="2"/>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6"/>
    </row>
    <row r="315" spans="5:31" x14ac:dyDescent="0.3">
      <c r="E315" s="2"/>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6"/>
    </row>
    <row r="316" spans="5:31" x14ac:dyDescent="0.3">
      <c r="E316" s="2"/>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6"/>
    </row>
    <row r="317" spans="5:31" x14ac:dyDescent="0.3">
      <c r="E317" s="2"/>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6"/>
    </row>
    <row r="318" spans="5:31" x14ac:dyDescent="0.3">
      <c r="E318" s="2"/>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6"/>
    </row>
    <row r="319" spans="5:31" x14ac:dyDescent="0.3">
      <c r="E319" s="2"/>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6"/>
    </row>
    <row r="320" spans="5:31" x14ac:dyDescent="0.3">
      <c r="E320" s="2"/>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6"/>
    </row>
    <row r="321" spans="5:31" x14ac:dyDescent="0.3">
      <c r="E321" s="2"/>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6"/>
    </row>
    <row r="322" spans="5:31" x14ac:dyDescent="0.3">
      <c r="E322" s="2"/>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6"/>
    </row>
    <row r="323" spans="5:31" x14ac:dyDescent="0.3">
      <c r="E323" s="2"/>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6"/>
    </row>
    <row r="324" spans="5:31" x14ac:dyDescent="0.3">
      <c r="E324" s="2"/>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6"/>
    </row>
    <row r="325" spans="5:31" x14ac:dyDescent="0.3">
      <c r="E325" s="2"/>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6"/>
    </row>
    <row r="326" spans="5:31" x14ac:dyDescent="0.3">
      <c r="E326" s="2"/>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6"/>
    </row>
    <row r="327" spans="5:31" x14ac:dyDescent="0.3">
      <c r="E327" s="2"/>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6"/>
    </row>
    <row r="328" spans="5:31" x14ac:dyDescent="0.3">
      <c r="E328" s="2"/>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6"/>
    </row>
    <row r="329" spans="5:31" x14ac:dyDescent="0.3">
      <c r="E329" s="2"/>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6"/>
    </row>
    <row r="330" spans="5:31" x14ac:dyDescent="0.3">
      <c r="E330" s="2"/>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6"/>
    </row>
    <row r="331" spans="5:31" x14ac:dyDescent="0.3">
      <c r="E331" s="2"/>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6"/>
    </row>
    <row r="332" spans="5:31" x14ac:dyDescent="0.3">
      <c r="E332" s="2"/>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6"/>
    </row>
    <row r="333" spans="5:31" x14ac:dyDescent="0.3">
      <c r="E333" s="2"/>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6"/>
    </row>
    <row r="334" spans="5:31" x14ac:dyDescent="0.3">
      <c r="E334" s="2"/>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6"/>
    </row>
    <row r="335" spans="5:31" x14ac:dyDescent="0.3">
      <c r="E335" s="2"/>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6"/>
    </row>
    <row r="336" spans="5:31" x14ac:dyDescent="0.3">
      <c r="E336" s="2"/>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6"/>
    </row>
    <row r="337" spans="5:31" x14ac:dyDescent="0.3">
      <c r="E337" s="2"/>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6"/>
    </row>
    <row r="338" spans="5:31" x14ac:dyDescent="0.3">
      <c r="E338" s="2"/>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6"/>
    </row>
    <row r="339" spans="5:31" x14ac:dyDescent="0.3">
      <c r="E339" s="2"/>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6"/>
    </row>
    <row r="340" spans="5:31" x14ac:dyDescent="0.3">
      <c r="E340" s="2"/>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6"/>
    </row>
    <row r="341" spans="5:31" x14ac:dyDescent="0.3">
      <c r="E341" s="2"/>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6"/>
    </row>
    <row r="342" spans="5:31" x14ac:dyDescent="0.3">
      <c r="E342" s="2"/>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6"/>
    </row>
    <row r="343" spans="5:31" x14ac:dyDescent="0.3">
      <c r="E343" s="2"/>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6"/>
    </row>
    <row r="344" spans="5:31" x14ac:dyDescent="0.3">
      <c r="E344" s="2"/>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6"/>
    </row>
    <row r="345" spans="5:31" x14ac:dyDescent="0.3">
      <c r="E345" s="2"/>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6"/>
    </row>
    <row r="346" spans="5:31" x14ac:dyDescent="0.3">
      <c r="E346" s="2"/>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6"/>
    </row>
    <row r="347" spans="5:31" x14ac:dyDescent="0.3">
      <c r="E347" s="2"/>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6"/>
    </row>
    <row r="348" spans="5:31" x14ac:dyDescent="0.3">
      <c r="E348" s="2"/>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6"/>
    </row>
    <row r="349" spans="5:31" x14ac:dyDescent="0.3">
      <c r="E349" s="2"/>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6"/>
    </row>
    <row r="350" spans="5:31" x14ac:dyDescent="0.3">
      <c r="E350" s="2"/>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6"/>
    </row>
    <row r="351" spans="5:31" x14ac:dyDescent="0.3">
      <c r="E351" s="2"/>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6"/>
    </row>
    <row r="352" spans="5:31" x14ac:dyDescent="0.3">
      <c r="E352" s="2"/>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6"/>
    </row>
    <row r="353" spans="5:31" x14ac:dyDescent="0.3">
      <c r="E353" s="2"/>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6"/>
    </row>
    <row r="354" spans="5:31" x14ac:dyDescent="0.3">
      <c r="E354" s="2"/>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6"/>
    </row>
    <row r="355" spans="5:31" x14ac:dyDescent="0.3">
      <c r="E355" s="2"/>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6"/>
    </row>
    <row r="356" spans="5:31" x14ac:dyDescent="0.3">
      <c r="E356" s="2"/>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6"/>
    </row>
    <row r="357" spans="5:31" x14ac:dyDescent="0.3">
      <c r="E357" s="2"/>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6"/>
    </row>
    <row r="358" spans="5:31" x14ac:dyDescent="0.3">
      <c r="E358" s="2"/>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6"/>
    </row>
    <row r="359" spans="5:31" x14ac:dyDescent="0.3">
      <c r="E359" s="2"/>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6"/>
    </row>
    <row r="360" spans="5:31" x14ac:dyDescent="0.3">
      <c r="E360" s="2"/>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6"/>
    </row>
    <row r="361" spans="5:31" x14ac:dyDescent="0.3">
      <c r="E361" s="2"/>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6"/>
    </row>
    <row r="362" spans="5:31" x14ac:dyDescent="0.3">
      <c r="E362" s="2"/>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6"/>
    </row>
    <row r="363" spans="5:31" x14ac:dyDescent="0.3">
      <c r="E363" s="2"/>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6"/>
    </row>
    <row r="364" spans="5:31" x14ac:dyDescent="0.3">
      <c r="E364" s="2"/>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6"/>
    </row>
    <row r="365" spans="5:31" x14ac:dyDescent="0.3">
      <c r="E365" s="2"/>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6"/>
    </row>
    <row r="366" spans="5:31" x14ac:dyDescent="0.3">
      <c r="E366" s="2"/>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6"/>
    </row>
    <row r="367" spans="5:31" x14ac:dyDescent="0.3">
      <c r="E367" s="2"/>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6"/>
    </row>
    <row r="368" spans="5:31" x14ac:dyDescent="0.3">
      <c r="E368" s="2"/>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6"/>
    </row>
    <row r="369" spans="5:31" x14ac:dyDescent="0.3">
      <c r="E369" s="2"/>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6"/>
    </row>
    <row r="370" spans="5:31" x14ac:dyDescent="0.3">
      <c r="E370" s="2"/>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6"/>
    </row>
    <row r="371" spans="5:31" x14ac:dyDescent="0.3">
      <c r="E371" s="2"/>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6"/>
    </row>
    <row r="372" spans="5:31" x14ac:dyDescent="0.3">
      <c r="E372" s="2"/>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6"/>
    </row>
    <row r="373" spans="5:31" x14ac:dyDescent="0.3">
      <c r="E373" s="2"/>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6"/>
    </row>
    <row r="374" spans="5:31" x14ac:dyDescent="0.3">
      <c r="E374" s="2"/>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6"/>
    </row>
    <row r="375" spans="5:31" x14ac:dyDescent="0.3">
      <c r="E375" s="2"/>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6"/>
    </row>
    <row r="376" spans="5:31" x14ac:dyDescent="0.3">
      <c r="E376" s="2"/>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6"/>
    </row>
    <row r="377" spans="5:31" x14ac:dyDescent="0.3">
      <c r="E377" s="2"/>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6"/>
    </row>
    <row r="378" spans="5:31" x14ac:dyDescent="0.3">
      <c r="E378" s="2"/>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6"/>
    </row>
    <row r="379" spans="5:31" x14ac:dyDescent="0.3">
      <c r="E379" s="2"/>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6"/>
    </row>
    <row r="380" spans="5:31" x14ac:dyDescent="0.3">
      <c r="E380" s="2"/>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6"/>
    </row>
    <row r="381" spans="5:31" x14ac:dyDescent="0.3">
      <c r="E381" s="2"/>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6"/>
    </row>
    <row r="382" spans="5:31" x14ac:dyDescent="0.3">
      <c r="E382" s="2"/>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6"/>
    </row>
    <row r="383" spans="5:31" x14ac:dyDescent="0.3">
      <c r="E383" s="2"/>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6"/>
    </row>
    <row r="384" spans="5:31" x14ac:dyDescent="0.3">
      <c r="E384" s="2"/>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6"/>
    </row>
    <row r="385" spans="5:31" x14ac:dyDescent="0.3">
      <c r="E385" s="2"/>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6"/>
    </row>
    <row r="386" spans="5:31" x14ac:dyDescent="0.3">
      <c r="E386" s="2"/>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6"/>
    </row>
    <row r="387" spans="5:31" x14ac:dyDescent="0.3">
      <c r="E387" s="2"/>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6"/>
    </row>
    <row r="388" spans="5:31" x14ac:dyDescent="0.3">
      <c r="E388" s="2"/>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6"/>
    </row>
    <row r="389" spans="5:31" x14ac:dyDescent="0.3">
      <c r="E389" s="2"/>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6"/>
    </row>
    <row r="390" spans="5:31" x14ac:dyDescent="0.3">
      <c r="E390" s="2"/>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6"/>
    </row>
    <row r="391" spans="5:31" x14ac:dyDescent="0.3">
      <c r="E391" s="2"/>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6"/>
    </row>
    <row r="392" spans="5:31" x14ac:dyDescent="0.3">
      <c r="E392" s="2"/>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6"/>
    </row>
    <row r="393" spans="5:31" x14ac:dyDescent="0.3">
      <c r="E393" s="2"/>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6"/>
    </row>
    <row r="394" spans="5:31" x14ac:dyDescent="0.3">
      <c r="E394" s="2"/>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6"/>
    </row>
    <row r="395" spans="5:31" x14ac:dyDescent="0.3">
      <c r="E395" s="2"/>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6"/>
    </row>
    <row r="396" spans="5:31" x14ac:dyDescent="0.3">
      <c r="E396" s="2"/>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6"/>
    </row>
    <row r="397" spans="5:31" x14ac:dyDescent="0.3">
      <c r="E397" s="2"/>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6"/>
    </row>
    <row r="398" spans="5:31" x14ac:dyDescent="0.3">
      <c r="E398" s="2"/>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6"/>
    </row>
    <row r="399" spans="5:31" x14ac:dyDescent="0.3">
      <c r="E399" s="2"/>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6"/>
    </row>
    <row r="400" spans="5:31" x14ac:dyDescent="0.3">
      <c r="E400" s="2"/>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6"/>
    </row>
    <row r="401" spans="5:31" x14ac:dyDescent="0.3">
      <c r="E401" s="2"/>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6"/>
    </row>
    <row r="402" spans="5:31" x14ac:dyDescent="0.3">
      <c r="E402" s="2"/>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6"/>
    </row>
    <row r="403" spans="5:31" x14ac:dyDescent="0.3">
      <c r="E403" s="2"/>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6"/>
    </row>
    <row r="404" spans="5:31" x14ac:dyDescent="0.3">
      <c r="E404" s="2"/>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6"/>
    </row>
    <row r="405" spans="5:31" x14ac:dyDescent="0.3">
      <c r="E405" s="2"/>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6"/>
    </row>
    <row r="406" spans="5:31" x14ac:dyDescent="0.3">
      <c r="E406" s="2"/>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6"/>
    </row>
    <row r="407" spans="5:31" x14ac:dyDescent="0.3">
      <c r="E407" s="2"/>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6"/>
    </row>
    <row r="408" spans="5:31" x14ac:dyDescent="0.3">
      <c r="E408" s="2"/>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6"/>
    </row>
    <row r="409" spans="5:31" x14ac:dyDescent="0.3">
      <c r="E409" s="2"/>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6"/>
    </row>
    <row r="410" spans="5:31" x14ac:dyDescent="0.3">
      <c r="E410" s="2"/>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6"/>
    </row>
    <row r="411" spans="5:31" x14ac:dyDescent="0.3">
      <c r="E411" s="2"/>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6"/>
    </row>
    <row r="412" spans="5:31" x14ac:dyDescent="0.3">
      <c r="E412" s="2"/>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6"/>
    </row>
    <row r="413" spans="5:31" x14ac:dyDescent="0.3">
      <c r="E413" s="2"/>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6"/>
    </row>
    <row r="414" spans="5:31" x14ac:dyDescent="0.3">
      <c r="E414" s="2"/>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6"/>
    </row>
    <row r="415" spans="5:31" x14ac:dyDescent="0.3">
      <c r="E415" s="2"/>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6"/>
    </row>
    <row r="416" spans="5:31" x14ac:dyDescent="0.3">
      <c r="E416" s="2"/>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6"/>
    </row>
    <row r="417" spans="5:31" ht="15" thickBot="1" x14ac:dyDescent="0.35">
      <c r="E417" s="27"/>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9"/>
    </row>
  </sheetData>
  <sortState xmlns:xlrd2="http://schemas.microsoft.com/office/spreadsheetml/2017/richdata2" ref="E68:G91">
    <sortCondition ref="E68"/>
  </sortState>
  <mergeCells count="69">
    <mergeCell ref="S53:T55"/>
    <mergeCell ref="Q50:T50"/>
    <mergeCell ref="E21:AE21"/>
    <mergeCell ref="U12:V12"/>
    <mergeCell ref="U13:V13"/>
    <mergeCell ref="U19:V19"/>
    <mergeCell ref="M14:N14"/>
    <mergeCell ref="M15:N15"/>
    <mergeCell ref="M13:N13"/>
    <mergeCell ref="B19:K19"/>
    <mergeCell ref="B12:K12"/>
    <mergeCell ref="B13:K13"/>
    <mergeCell ref="B14:K14"/>
    <mergeCell ref="B17:K17"/>
    <mergeCell ref="B18:K18"/>
    <mergeCell ref="B16:E16"/>
    <mergeCell ref="R10:R11"/>
    <mergeCell ref="M10:N10"/>
    <mergeCell ref="M11:N11"/>
    <mergeCell ref="M12:N12"/>
    <mergeCell ref="B4:K4"/>
    <mergeCell ref="B6:K6"/>
    <mergeCell ref="B9:K9"/>
    <mergeCell ref="B7:K7"/>
    <mergeCell ref="B10:K10"/>
    <mergeCell ref="B11:K11"/>
    <mergeCell ref="B2:K3"/>
    <mergeCell ref="B8:K8"/>
    <mergeCell ref="B5:K5"/>
    <mergeCell ref="M2:O3"/>
    <mergeCell ref="R2:V2"/>
    <mergeCell ref="U3:V3"/>
    <mergeCell ref="U4:V4"/>
    <mergeCell ref="R6:R7"/>
    <mergeCell ref="M4:N4"/>
    <mergeCell ref="M5:N5"/>
    <mergeCell ref="M6:N6"/>
    <mergeCell ref="M7:N7"/>
    <mergeCell ref="R8:R9"/>
    <mergeCell ref="U8:V9"/>
    <mergeCell ref="M8:N8"/>
    <mergeCell ref="M9:N9"/>
    <mergeCell ref="E58:F58"/>
    <mergeCell ref="E57:F57"/>
    <mergeCell ref="K57:L57"/>
    <mergeCell ref="K59:L59"/>
    <mergeCell ref="K51:L51"/>
    <mergeCell ref="K52:L52"/>
    <mergeCell ref="K53:L53"/>
    <mergeCell ref="K54:L54"/>
    <mergeCell ref="K55:L55"/>
    <mergeCell ref="E56:F56"/>
    <mergeCell ref="E55:F55"/>
    <mergeCell ref="E51:F51"/>
    <mergeCell ref="E52:F52"/>
    <mergeCell ref="E53:F53"/>
    <mergeCell ref="E54:F54"/>
    <mergeCell ref="K60:L60"/>
    <mergeCell ref="K58:L58"/>
    <mergeCell ref="J61:O65"/>
    <mergeCell ref="Q51:R51"/>
    <mergeCell ref="Q52:R52"/>
    <mergeCell ref="Q53:Q54"/>
    <mergeCell ref="R53:R54"/>
    <mergeCell ref="K56:L56"/>
    <mergeCell ref="Q55:R55"/>
    <mergeCell ref="Q57:R57"/>
    <mergeCell ref="Q58:R58"/>
    <mergeCell ref="Q59:R59"/>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5AB8-5ACB-4132-A0E1-C64AE0EBF0A0}">
  <dimension ref="A1:S67"/>
  <sheetViews>
    <sheetView workbookViewId="0">
      <selection activeCell="L17" sqref="L17"/>
    </sheetView>
  </sheetViews>
  <sheetFormatPr defaultRowHeight="14.4" x14ac:dyDescent="0.3"/>
  <cols>
    <col min="1" max="1" width="15.6640625" bestFit="1" customWidth="1"/>
    <col min="2" max="2" width="10" bestFit="1" customWidth="1"/>
    <col min="3" max="3" width="10.77734375" bestFit="1" customWidth="1"/>
    <col min="4" max="4" width="16.33203125" bestFit="1" customWidth="1"/>
    <col min="5" max="5" width="9.5546875" bestFit="1" customWidth="1"/>
    <col min="6" max="6" width="12.6640625" bestFit="1" customWidth="1"/>
    <col min="7" max="7" width="12" bestFit="1" customWidth="1"/>
    <col min="8" max="8" width="14.88671875" customWidth="1"/>
    <col min="11" max="11" width="17.44140625" bestFit="1" customWidth="1"/>
    <col min="12" max="12" width="13.21875" bestFit="1" customWidth="1"/>
    <col min="13" max="13" width="13.44140625" bestFit="1" customWidth="1"/>
    <col min="14" max="14" width="12.6640625" bestFit="1" customWidth="1"/>
    <col min="15" max="15" width="12" bestFit="1" customWidth="1"/>
    <col min="16" max="16" width="12.6640625" bestFit="1" customWidth="1"/>
  </cols>
  <sheetData>
    <row r="1" spans="1:16" x14ac:dyDescent="0.3">
      <c r="A1" s="324" t="s">
        <v>125</v>
      </c>
      <c r="B1" s="324" t="s">
        <v>126</v>
      </c>
      <c r="C1" s="324" t="s">
        <v>127</v>
      </c>
      <c r="D1" s="324" t="s">
        <v>128</v>
      </c>
      <c r="E1" s="324" t="s">
        <v>108</v>
      </c>
      <c r="F1" s="324" t="s">
        <v>129</v>
      </c>
      <c r="G1" s="290" t="s">
        <v>130</v>
      </c>
      <c r="H1" s="339" t="s">
        <v>168</v>
      </c>
      <c r="I1" s="339" t="s">
        <v>169</v>
      </c>
    </row>
    <row r="2" spans="1:16" ht="15" thickBot="1" x14ac:dyDescent="0.35">
      <c r="A2" s="325">
        <v>1</v>
      </c>
      <c r="B2" s="325">
        <v>30</v>
      </c>
      <c r="C2" s="325">
        <v>60</v>
      </c>
      <c r="D2" s="325">
        <v>175</v>
      </c>
      <c r="E2" s="325">
        <v>15</v>
      </c>
      <c r="F2" s="325">
        <v>26.2</v>
      </c>
      <c r="G2">
        <f>$L$27+$L$28*Table5[[#This Row],[Force]]+$L$29*Table5[[#This Row],[Power]]+$L$30*Table5[[#This Row],[Temperature]]+$L$31*Table5[[#This Row],[Time]]</f>
        <v>25.339999999999993</v>
      </c>
      <c r="H2" s="338">
        <f>Table5[[#This Row],[Strength]]-Table5[[#This Row],[Y-estm]]</f>
        <v>0.86000000000000654</v>
      </c>
      <c r="I2" s="338">
        <f>Table5[[#This Row],[y-diff]]/Table5[[#This Row],[Strength]]</f>
        <v>3.2824427480916282E-2</v>
      </c>
      <c r="K2" s="343" t="s">
        <v>118</v>
      </c>
      <c r="L2" s="343">
        <f>COUNT(A2:A31)</f>
        <v>30</v>
      </c>
    </row>
    <row r="3" spans="1:16" x14ac:dyDescent="0.3">
      <c r="A3" s="326">
        <v>2</v>
      </c>
      <c r="B3" s="326">
        <v>40</v>
      </c>
      <c r="C3" s="326">
        <v>60</v>
      </c>
      <c r="D3" s="326">
        <v>175</v>
      </c>
      <c r="E3" s="326">
        <v>15</v>
      </c>
      <c r="F3" s="326">
        <v>26.3</v>
      </c>
      <c r="G3">
        <f>$L$27+$L$28*Table5[[#This Row],[Force]]+$L$29*Table5[[#This Row],[Power]]+$L$30*Table5[[#This Row],[Temperature]]+$L$31*Table5[[#This Row],[Time]]</f>
        <v>27.456666666666663</v>
      </c>
      <c r="H3" s="326">
        <f>Table5[[#This Row],[Strength]]-Table5[[#This Row],[Y-estm]]</f>
        <v>-1.1566666666666627</v>
      </c>
      <c r="I3" s="326">
        <f>Table5[[#This Row],[y-diff]]/Table5[[#This Row],[Strength]]</f>
        <v>-4.3979721166032805E-2</v>
      </c>
      <c r="K3" s="320"/>
      <c r="L3" s="327" t="s">
        <v>135</v>
      </c>
      <c r="M3" s="328" t="s">
        <v>134</v>
      </c>
      <c r="N3" s="328" t="s">
        <v>133</v>
      </c>
      <c r="O3" s="328" t="s">
        <v>132</v>
      </c>
      <c r="P3" s="329" t="s">
        <v>131</v>
      </c>
    </row>
    <row r="4" spans="1:16" x14ac:dyDescent="0.3">
      <c r="A4" s="325">
        <v>3</v>
      </c>
      <c r="B4" s="325">
        <v>30</v>
      </c>
      <c r="C4" s="325">
        <v>90</v>
      </c>
      <c r="D4" s="325">
        <v>175</v>
      </c>
      <c r="E4" s="325">
        <v>15</v>
      </c>
      <c r="F4" s="325">
        <v>39.799999999999997</v>
      </c>
      <c r="G4">
        <f>$L$27+$L$28*Table5[[#This Row],[Force]]+$L$29*Table5[[#This Row],[Power]]+$L$30*Table5[[#This Row],[Temperature]]+$L$31*Table5[[#This Row],[Time]]</f>
        <v>40.289999999999992</v>
      </c>
      <c r="H4" s="326">
        <f>Table5[[#This Row],[Strength]]-Table5[[#This Row],[Y-estm]]</f>
        <v>-0.48999999999999488</v>
      </c>
      <c r="I4" s="326">
        <f>Table5[[#This Row],[y-diff]]/Table5[[#This Row],[Strength]]</f>
        <v>-1.2311557788944596E-2</v>
      </c>
      <c r="K4" s="301" t="s">
        <v>136</v>
      </c>
      <c r="L4" s="49" cm="1">
        <f t="array" ref="L4:P8">LINEST(F2:F31,B2:E31,TRUE,TRUE)</f>
        <v>0.25833333333333314</v>
      </c>
      <c r="M4" s="32">
        <v>0.12966666666666674</v>
      </c>
      <c r="N4" s="32">
        <v>0.49833333333333346</v>
      </c>
      <c r="O4" s="32">
        <v>0.21166666666666684</v>
      </c>
      <c r="P4" s="330">
        <v>-37.476666666666695</v>
      </c>
    </row>
    <row r="5" spans="1:16" x14ac:dyDescent="0.3">
      <c r="A5" s="326">
        <v>4</v>
      </c>
      <c r="B5" s="326">
        <v>40</v>
      </c>
      <c r="C5" s="326">
        <v>90</v>
      </c>
      <c r="D5" s="326">
        <v>175</v>
      </c>
      <c r="E5" s="326">
        <v>15</v>
      </c>
      <c r="F5" s="326">
        <v>39.700000000000003</v>
      </c>
      <c r="G5">
        <f>$L$27+$L$28*Table5[[#This Row],[Force]]+$L$29*Table5[[#This Row],[Power]]+$L$30*Table5[[#This Row],[Temperature]]+$L$31*Table5[[#This Row],[Time]]</f>
        <v>42.406666666666666</v>
      </c>
      <c r="H5" s="326">
        <f>Table5[[#This Row],[Strength]]-Table5[[#This Row],[Y-estm]]</f>
        <v>-2.7066666666666634</v>
      </c>
      <c r="I5" s="326">
        <f>Table5[[#This Row],[y-diff]]/Table5[[#This Row],[Strength]]</f>
        <v>-6.8178001679261038E-2</v>
      </c>
      <c r="K5" s="301" t="s">
        <v>137</v>
      </c>
      <c r="L5" s="49">
        <v>0.21057360813844747</v>
      </c>
      <c r="M5" s="32">
        <v>4.2114721627689512E-2</v>
      </c>
      <c r="N5" s="32">
        <v>7.0191202712815842E-2</v>
      </c>
      <c r="O5" s="32">
        <v>0.21057360813844758</v>
      </c>
      <c r="P5" s="330">
        <v>13.099641827164591</v>
      </c>
    </row>
    <row r="6" spans="1:16" x14ac:dyDescent="0.3">
      <c r="A6" s="325">
        <v>5</v>
      </c>
      <c r="B6" s="325">
        <v>30</v>
      </c>
      <c r="C6" s="325">
        <v>60</v>
      </c>
      <c r="D6" s="325">
        <v>225</v>
      </c>
      <c r="E6" s="325">
        <v>15</v>
      </c>
      <c r="F6" s="325">
        <v>38.6</v>
      </c>
      <c r="G6">
        <f>$L$27+$L$28*Table5[[#This Row],[Force]]+$L$29*Table5[[#This Row],[Power]]+$L$30*Table5[[#This Row],[Temperature]]+$L$31*Table5[[#This Row],[Time]]</f>
        <v>31.823333333333331</v>
      </c>
      <c r="H6" s="326">
        <f>Table5[[#This Row],[Strength]]-Table5[[#This Row],[Y-estm]]</f>
        <v>6.7766666666666708</v>
      </c>
      <c r="I6" s="326">
        <f>Table5[[#This Row],[y-diff]]/Table5[[#This Row],[Strength]]</f>
        <v>0.17556131260794483</v>
      </c>
      <c r="K6" s="301" t="s">
        <v>138</v>
      </c>
      <c r="L6" s="289">
        <v>0.71395927850894281</v>
      </c>
      <c r="M6" s="53">
        <v>5.1579789323597156</v>
      </c>
      <c r="N6" s="40" t="e">
        <v>#N/A</v>
      </c>
      <c r="O6" s="40" t="e">
        <v>#N/A</v>
      </c>
      <c r="P6" s="321" t="e">
        <v>#N/A</v>
      </c>
    </row>
    <row r="7" spans="1:16" x14ac:dyDescent="0.3">
      <c r="A7" s="326">
        <v>6</v>
      </c>
      <c r="B7" s="326">
        <v>40</v>
      </c>
      <c r="C7" s="326">
        <v>60</v>
      </c>
      <c r="D7" s="326">
        <v>225</v>
      </c>
      <c r="E7" s="326">
        <v>15</v>
      </c>
      <c r="F7" s="326">
        <v>35.5</v>
      </c>
      <c r="G7">
        <f>$L$27+$L$28*Table5[[#This Row],[Force]]+$L$29*Table5[[#This Row],[Power]]+$L$30*Table5[[#This Row],[Temperature]]+$L$31*Table5[[#This Row],[Time]]</f>
        <v>33.940000000000005</v>
      </c>
      <c r="H7" s="326">
        <f>Table5[[#This Row],[Strength]]-Table5[[#This Row],[Y-estm]]</f>
        <v>1.5599999999999952</v>
      </c>
      <c r="I7" s="326">
        <f>Table5[[#This Row],[y-diff]]/Table5[[#This Row],[Strength]]</f>
        <v>4.3943661971830847E-2</v>
      </c>
      <c r="K7" s="301" t="s">
        <v>139</v>
      </c>
      <c r="L7" s="49">
        <v>15.600035783088321</v>
      </c>
      <c r="M7" s="32">
        <v>25</v>
      </c>
      <c r="N7" s="40" t="e">
        <v>#N/A</v>
      </c>
      <c r="O7" s="40" t="e">
        <v>#N/A</v>
      </c>
      <c r="P7" s="321" t="e">
        <v>#N/A</v>
      </c>
    </row>
    <row r="8" spans="1:16" ht="15" thickBot="1" x14ac:dyDescent="0.35">
      <c r="A8" s="325">
        <v>7</v>
      </c>
      <c r="B8" s="325">
        <v>30</v>
      </c>
      <c r="C8" s="325">
        <v>90</v>
      </c>
      <c r="D8" s="325">
        <v>225</v>
      </c>
      <c r="E8" s="325">
        <v>15</v>
      </c>
      <c r="F8" s="325">
        <v>48.8</v>
      </c>
      <c r="G8">
        <f>$L$27+$L$28*Table5[[#This Row],[Force]]+$L$29*Table5[[#This Row],[Power]]+$L$30*Table5[[#This Row],[Temperature]]+$L$31*Table5[[#This Row],[Time]]</f>
        <v>46.773333333333333</v>
      </c>
      <c r="H8" s="326">
        <f>Table5[[#This Row],[Strength]]-Table5[[#This Row],[Y-estm]]</f>
        <v>2.0266666666666637</v>
      </c>
      <c r="I8" s="326">
        <f>Table5[[#This Row],[y-diff]]/Table5[[#This Row],[Strength]]</f>
        <v>4.1530054644808682E-2</v>
      </c>
      <c r="K8" s="302" t="s">
        <v>141</v>
      </c>
      <c r="L8" s="332">
        <v>1660.1399999999994</v>
      </c>
      <c r="M8" s="331">
        <v>665.11866666666685</v>
      </c>
      <c r="N8" s="322" t="e">
        <v>#N/A</v>
      </c>
      <c r="O8" s="322" t="e">
        <v>#N/A</v>
      </c>
      <c r="P8" s="323" t="e">
        <v>#N/A</v>
      </c>
    </row>
    <row r="9" spans="1:16" x14ac:dyDescent="0.3">
      <c r="A9" s="326">
        <v>8</v>
      </c>
      <c r="B9" s="326">
        <v>40</v>
      </c>
      <c r="C9" s="326">
        <v>90</v>
      </c>
      <c r="D9" s="326">
        <v>225</v>
      </c>
      <c r="E9" s="326">
        <v>15</v>
      </c>
      <c r="F9" s="326">
        <v>37.799999999999997</v>
      </c>
      <c r="G9">
        <f>$L$27+$L$28*Table5[[#This Row],[Force]]+$L$29*Table5[[#This Row],[Power]]+$L$30*Table5[[#This Row],[Temperature]]+$L$31*Table5[[#This Row],[Time]]</f>
        <v>48.89</v>
      </c>
      <c r="H9" s="326">
        <f>Table5[[#This Row],[Strength]]-Table5[[#This Row],[Y-estm]]</f>
        <v>-11.090000000000003</v>
      </c>
      <c r="I9" s="326">
        <f>Table5[[#This Row],[y-diff]]/Table5[[#This Row],[Strength]]</f>
        <v>-0.29338624338624347</v>
      </c>
    </row>
    <row r="10" spans="1:16" x14ac:dyDescent="0.3">
      <c r="A10" s="325">
        <v>9</v>
      </c>
      <c r="B10" s="325">
        <v>30</v>
      </c>
      <c r="C10" s="325">
        <v>60</v>
      </c>
      <c r="D10" s="325">
        <v>175</v>
      </c>
      <c r="E10" s="325">
        <v>25</v>
      </c>
      <c r="F10" s="325">
        <v>26.6</v>
      </c>
      <c r="G10">
        <f>$L$27+$L$28*Table5[[#This Row],[Force]]+$L$29*Table5[[#This Row],[Power]]+$L$30*Table5[[#This Row],[Temperature]]+$L$31*Table5[[#This Row],[Time]]</f>
        <v>27.923333333333325</v>
      </c>
      <c r="H10" s="326">
        <f>Table5[[#This Row],[Strength]]-Table5[[#This Row],[Y-estm]]</f>
        <v>-1.3233333333333235</v>
      </c>
      <c r="I10" s="326">
        <f>Table5[[#This Row],[y-diff]]/Table5[[#This Row],[Strength]]</f>
        <v>-4.9749373433583585E-2</v>
      </c>
    </row>
    <row r="11" spans="1:16" x14ac:dyDescent="0.3">
      <c r="A11" s="326">
        <v>10</v>
      </c>
      <c r="B11" s="326">
        <v>40</v>
      </c>
      <c r="C11" s="326">
        <v>60</v>
      </c>
      <c r="D11" s="326">
        <v>175</v>
      </c>
      <c r="E11" s="326">
        <v>25</v>
      </c>
      <c r="F11" s="326">
        <v>23.4</v>
      </c>
      <c r="G11">
        <f>$L$27+$L$28*Table5[[#This Row],[Force]]+$L$29*Table5[[#This Row],[Power]]+$L$30*Table5[[#This Row],[Temperature]]+$L$31*Table5[[#This Row],[Time]]</f>
        <v>30.039999999999996</v>
      </c>
      <c r="H11" s="326">
        <f>Table5[[#This Row],[Strength]]-Table5[[#This Row],[Y-estm]]</f>
        <v>-6.639999999999997</v>
      </c>
      <c r="I11" s="326">
        <f>Table5[[#This Row],[y-diff]]/Table5[[#This Row],[Strength]]</f>
        <v>-0.28376068376068364</v>
      </c>
      <c r="K11" t="s">
        <v>142</v>
      </c>
    </row>
    <row r="12" spans="1:16" ht="15" thickBot="1" x14ac:dyDescent="0.35">
      <c r="A12" s="325">
        <v>11</v>
      </c>
      <c r="B12" s="325">
        <v>30</v>
      </c>
      <c r="C12" s="325">
        <v>90</v>
      </c>
      <c r="D12" s="325">
        <v>175</v>
      </c>
      <c r="E12" s="325">
        <v>25</v>
      </c>
      <c r="F12" s="325">
        <v>38.6</v>
      </c>
      <c r="G12">
        <f>$L$27+$L$28*Table5[[#This Row],[Force]]+$L$29*Table5[[#This Row],[Power]]+$L$30*Table5[[#This Row],[Temperature]]+$L$31*Table5[[#This Row],[Time]]</f>
        <v>42.873333333333321</v>
      </c>
      <c r="H12" s="326">
        <f>Table5[[#This Row],[Strength]]-Table5[[#This Row],[Y-estm]]</f>
        <v>-4.2733333333333192</v>
      </c>
      <c r="I12" s="326">
        <f>Table5[[#This Row],[y-diff]]/Table5[[#This Row],[Strength]]</f>
        <v>-0.11070811744386837</v>
      </c>
    </row>
    <row r="13" spans="1:16" x14ac:dyDescent="0.3">
      <c r="A13" s="326">
        <v>12</v>
      </c>
      <c r="B13" s="326">
        <v>40</v>
      </c>
      <c r="C13" s="326">
        <v>90</v>
      </c>
      <c r="D13" s="326">
        <v>175</v>
      </c>
      <c r="E13" s="326">
        <v>25</v>
      </c>
      <c r="F13" s="326">
        <v>52.1</v>
      </c>
      <c r="G13">
        <f>$L$27+$L$28*Table5[[#This Row],[Force]]+$L$29*Table5[[#This Row],[Power]]+$L$30*Table5[[#This Row],[Temperature]]+$L$31*Table5[[#This Row],[Time]]</f>
        <v>44.989999999999995</v>
      </c>
      <c r="H13" s="326">
        <f>Table5[[#This Row],[Strength]]-Table5[[#This Row],[Y-estm]]</f>
        <v>7.1100000000000065</v>
      </c>
      <c r="I13" s="326">
        <f>Table5[[#This Row],[y-diff]]/Table5[[#This Row],[Strength]]</f>
        <v>0.13646833013435714</v>
      </c>
      <c r="K13" s="342" t="s">
        <v>143</v>
      </c>
      <c r="L13" s="342"/>
    </row>
    <row r="14" spans="1:16" x14ac:dyDescent="0.3">
      <c r="A14" s="325">
        <v>13</v>
      </c>
      <c r="B14" s="325">
        <v>30</v>
      </c>
      <c r="C14" s="325">
        <v>60</v>
      </c>
      <c r="D14" s="325">
        <v>225</v>
      </c>
      <c r="E14" s="325">
        <v>25</v>
      </c>
      <c r="F14" s="325">
        <v>39.5</v>
      </c>
      <c r="G14">
        <f>$L$27+$L$28*Table5[[#This Row],[Force]]+$L$29*Table5[[#This Row],[Power]]+$L$30*Table5[[#This Row],[Temperature]]+$L$31*Table5[[#This Row],[Time]]</f>
        <v>34.406666666666666</v>
      </c>
      <c r="H14" s="326">
        <f>Table5[[#This Row],[Strength]]-Table5[[#This Row],[Y-estm]]</f>
        <v>5.0933333333333337</v>
      </c>
      <c r="I14" s="326">
        <f>Table5[[#This Row],[y-diff]]/Table5[[#This Row],[Strength]]</f>
        <v>0.12894514767932491</v>
      </c>
      <c r="K14" s="31" t="s">
        <v>144</v>
      </c>
      <c r="L14" s="31">
        <v>0.84496111064885282</v>
      </c>
    </row>
    <row r="15" spans="1:16" x14ac:dyDescent="0.3">
      <c r="A15" s="326">
        <v>14</v>
      </c>
      <c r="B15" s="326">
        <v>40</v>
      </c>
      <c r="C15" s="326">
        <v>60</v>
      </c>
      <c r="D15" s="326">
        <v>225</v>
      </c>
      <c r="E15" s="326">
        <v>25</v>
      </c>
      <c r="F15" s="326">
        <v>32.299999999999997</v>
      </c>
      <c r="G15">
        <f>$L$27+$L$28*Table5[[#This Row],[Force]]+$L$29*Table5[[#This Row],[Power]]+$L$30*Table5[[#This Row],[Temperature]]+$L$31*Table5[[#This Row],[Time]]</f>
        <v>36.523333333333333</v>
      </c>
      <c r="H15" s="326">
        <f>Table5[[#This Row],[Strength]]-Table5[[#This Row],[Y-estm]]</f>
        <v>-4.2233333333333363</v>
      </c>
      <c r="I15" s="326">
        <f>Table5[[#This Row],[y-diff]]/Table5[[#This Row],[Strength]]</f>
        <v>-0.13075335397316831</v>
      </c>
      <c r="K15" s="31" t="s">
        <v>145</v>
      </c>
      <c r="L15" s="31">
        <v>0.71395927850894281</v>
      </c>
    </row>
    <row r="16" spans="1:16" x14ac:dyDescent="0.3">
      <c r="A16" s="325">
        <v>15</v>
      </c>
      <c r="B16" s="325">
        <v>30</v>
      </c>
      <c r="C16" s="325">
        <v>90</v>
      </c>
      <c r="D16" s="325">
        <v>225</v>
      </c>
      <c r="E16" s="325">
        <v>25</v>
      </c>
      <c r="F16" s="325">
        <v>43</v>
      </c>
      <c r="G16">
        <f>$L$27+$L$28*Table5[[#This Row],[Force]]+$L$29*Table5[[#This Row],[Power]]+$L$30*Table5[[#This Row],[Temperature]]+$L$31*Table5[[#This Row],[Time]]</f>
        <v>49.356666666666662</v>
      </c>
      <c r="H16" s="326">
        <f>Table5[[#This Row],[Strength]]-Table5[[#This Row],[Y-estm]]</f>
        <v>-6.356666666666662</v>
      </c>
      <c r="I16" s="326">
        <f>Table5[[#This Row],[y-diff]]/Table5[[#This Row],[Strength]]</f>
        <v>-0.14782945736434097</v>
      </c>
      <c r="K16" s="31" t="s">
        <v>146</v>
      </c>
      <c r="L16" s="31">
        <v>0.66819276307037367</v>
      </c>
    </row>
    <row r="17" spans="1:19" x14ac:dyDescent="0.3">
      <c r="A17" s="326">
        <v>16</v>
      </c>
      <c r="B17" s="326">
        <v>40</v>
      </c>
      <c r="C17" s="326">
        <v>90</v>
      </c>
      <c r="D17" s="326">
        <v>225</v>
      </c>
      <c r="E17" s="326">
        <v>25</v>
      </c>
      <c r="F17" s="326">
        <v>56</v>
      </c>
      <c r="G17">
        <f>$L$27+$L$28*Table5[[#This Row],[Force]]+$L$29*Table5[[#This Row],[Power]]+$L$30*Table5[[#This Row],[Temperature]]+$L$31*Table5[[#This Row],[Time]]</f>
        <v>51.473333333333329</v>
      </c>
      <c r="H17" s="326">
        <f>Table5[[#This Row],[Strength]]-Table5[[#This Row],[Y-estm]]</f>
        <v>4.5266666666666708</v>
      </c>
      <c r="I17" s="326">
        <f>Table5[[#This Row],[y-diff]]/Table5[[#This Row],[Strength]]</f>
        <v>8.083333333333341E-2</v>
      </c>
      <c r="K17" s="31" t="s">
        <v>147</v>
      </c>
      <c r="L17" s="31">
        <v>5.1579789323597156</v>
      </c>
    </row>
    <row r="18" spans="1:19" ht="15" thickBot="1" x14ac:dyDescent="0.35">
      <c r="A18" s="325">
        <v>17</v>
      </c>
      <c r="B18" s="325">
        <v>25</v>
      </c>
      <c r="C18" s="325">
        <v>75</v>
      </c>
      <c r="D18" s="325">
        <v>200</v>
      </c>
      <c r="E18" s="325">
        <v>20</v>
      </c>
      <c r="F18" s="325">
        <v>35.200000000000003</v>
      </c>
      <c r="G18">
        <f>$L$27+$L$28*Table5[[#This Row],[Force]]+$L$29*Table5[[#This Row],[Power]]+$L$30*Table5[[#This Row],[Temperature]]+$L$31*Table5[[#This Row],[Time]]</f>
        <v>36.289999999999992</v>
      </c>
      <c r="H18" s="326">
        <f>Table5[[#This Row],[Strength]]-Table5[[#This Row],[Y-estm]]</f>
        <v>-1.0899999999999892</v>
      </c>
      <c r="I18" s="326">
        <f>Table5[[#This Row],[y-diff]]/Table5[[#This Row],[Strength]]</f>
        <v>-3.096590909090878E-2</v>
      </c>
      <c r="K18" s="340" t="s">
        <v>148</v>
      </c>
      <c r="L18" s="340">
        <v>30</v>
      </c>
    </row>
    <row r="19" spans="1:19" x14ac:dyDescent="0.3">
      <c r="A19" s="326">
        <v>18</v>
      </c>
      <c r="B19" s="326">
        <v>45</v>
      </c>
      <c r="C19" s="326">
        <v>75</v>
      </c>
      <c r="D19" s="326">
        <v>200</v>
      </c>
      <c r="E19" s="326">
        <v>20</v>
      </c>
      <c r="F19" s="326">
        <v>46.9</v>
      </c>
      <c r="G19">
        <f>$L$27+$L$28*Table5[[#This Row],[Force]]+$L$29*Table5[[#This Row],[Power]]+$L$30*Table5[[#This Row],[Temperature]]+$L$31*Table5[[#This Row],[Time]]</f>
        <v>40.523333333333333</v>
      </c>
      <c r="H19" s="326">
        <f>Table5[[#This Row],[Strength]]-Table5[[#This Row],[Y-estm]]</f>
        <v>6.3766666666666652</v>
      </c>
      <c r="I19" s="326">
        <f>Table5[[#This Row],[y-diff]]/Table5[[#This Row],[Strength]]</f>
        <v>0.13596304193319117</v>
      </c>
    </row>
    <row r="20" spans="1:19" ht="15" thickBot="1" x14ac:dyDescent="0.35">
      <c r="A20" s="325">
        <v>19</v>
      </c>
      <c r="B20" s="325">
        <v>35</v>
      </c>
      <c r="C20" s="325">
        <v>45</v>
      </c>
      <c r="D20" s="325">
        <v>200</v>
      </c>
      <c r="E20" s="325">
        <v>20</v>
      </c>
      <c r="F20" s="325">
        <v>22.7</v>
      </c>
      <c r="G20">
        <f>$L$27+$L$28*Table5[[#This Row],[Force]]+$L$29*Table5[[#This Row],[Power]]+$L$30*Table5[[#This Row],[Temperature]]+$L$31*Table5[[#This Row],[Time]]</f>
        <v>23.456666666666656</v>
      </c>
      <c r="H20" s="326">
        <f>Table5[[#This Row],[Strength]]-Table5[[#This Row],[Y-estm]]</f>
        <v>-0.75666666666665705</v>
      </c>
      <c r="I20" s="326">
        <f>Table5[[#This Row],[y-diff]]/Table5[[#This Row],[Strength]]</f>
        <v>-3.333333333333291E-2</v>
      </c>
      <c r="K20" t="s">
        <v>149</v>
      </c>
    </row>
    <row r="21" spans="1:19" x14ac:dyDescent="0.3">
      <c r="A21" s="326">
        <v>20</v>
      </c>
      <c r="B21" s="326">
        <v>35</v>
      </c>
      <c r="C21" s="326">
        <v>105</v>
      </c>
      <c r="D21" s="326">
        <v>200</v>
      </c>
      <c r="E21" s="326">
        <v>20</v>
      </c>
      <c r="F21" s="326">
        <v>58.7</v>
      </c>
      <c r="G21">
        <f>$L$27+$L$28*Table5[[#This Row],[Force]]+$L$29*Table5[[#This Row],[Power]]+$L$30*Table5[[#This Row],[Temperature]]+$L$31*Table5[[#This Row],[Time]]</f>
        <v>53.356666666666662</v>
      </c>
      <c r="H21" s="326">
        <f>Table5[[#This Row],[Strength]]-Table5[[#This Row],[Y-estm]]</f>
        <v>5.3433333333333408</v>
      </c>
      <c r="I21" s="326">
        <f>Table5[[#This Row],[y-diff]]/Table5[[#This Row],[Strength]]</f>
        <v>9.1027825099375473E-2</v>
      </c>
      <c r="K21" s="341"/>
      <c r="L21" s="341" t="s">
        <v>153</v>
      </c>
      <c r="M21" s="341" t="s">
        <v>140</v>
      </c>
      <c r="N21" s="341" t="s">
        <v>154</v>
      </c>
      <c r="O21" s="341" t="s">
        <v>155</v>
      </c>
      <c r="P21" s="341" t="s">
        <v>156</v>
      </c>
    </row>
    <row r="22" spans="1:19" x14ac:dyDescent="0.3">
      <c r="A22" s="325">
        <v>21</v>
      </c>
      <c r="B22" s="325">
        <v>35</v>
      </c>
      <c r="C22" s="325">
        <v>75</v>
      </c>
      <c r="D22" s="325">
        <v>150</v>
      </c>
      <c r="E22" s="325">
        <v>20</v>
      </c>
      <c r="F22" s="325">
        <v>34.5</v>
      </c>
      <c r="G22">
        <f>$L$27+$L$28*Table5[[#This Row],[Force]]+$L$29*Table5[[#This Row],[Power]]+$L$30*Table5[[#This Row],[Temperature]]+$L$31*Table5[[#This Row],[Time]]</f>
        <v>31.923333333333325</v>
      </c>
      <c r="H22" s="326">
        <f>Table5[[#This Row],[Strength]]-Table5[[#This Row],[Y-estm]]</f>
        <v>2.5766666666666751</v>
      </c>
      <c r="I22" s="326">
        <f>Table5[[#This Row],[y-diff]]/Table5[[#This Row],[Strength]]</f>
        <v>7.468599033816449E-2</v>
      </c>
      <c r="K22" s="31" t="s">
        <v>150</v>
      </c>
      <c r="L22" s="31">
        <v>4</v>
      </c>
      <c r="M22" s="31">
        <v>1660.1399999999994</v>
      </c>
      <c r="N22" s="31">
        <v>415.03499999999985</v>
      </c>
      <c r="O22" s="31">
        <v>15.600035783088321</v>
      </c>
      <c r="P22" s="31">
        <v>1.5924160694544039E-6</v>
      </c>
    </row>
    <row r="23" spans="1:19" x14ac:dyDescent="0.3">
      <c r="A23" s="326">
        <v>22</v>
      </c>
      <c r="B23" s="326">
        <v>35</v>
      </c>
      <c r="C23" s="326">
        <v>75</v>
      </c>
      <c r="D23" s="326">
        <v>250</v>
      </c>
      <c r="E23" s="326">
        <v>20</v>
      </c>
      <c r="F23" s="326">
        <v>44</v>
      </c>
      <c r="G23">
        <f>$L$27+$L$28*Table5[[#This Row],[Force]]+$L$29*Table5[[#This Row],[Power]]+$L$30*Table5[[#This Row],[Temperature]]+$L$31*Table5[[#This Row],[Time]]</f>
        <v>44.89</v>
      </c>
      <c r="H23" s="326">
        <f>Table5[[#This Row],[Strength]]-Table5[[#This Row],[Y-estm]]</f>
        <v>-0.89000000000000057</v>
      </c>
      <c r="I23" s="326">
        <f>Table5[[#This Row],[y-diff]]/Table5[[#This Row],[Strength]]</f>
        <v>-2.022727272727274E-2</v>
      </c>
      <c r="K23" s="31" t="s">
        <v>151</v>
      </c>
      <c r="L23" s="31">
        <v>25</v>
      </c>
      <c r="M23" s="31">
        <v>665.11866666666685</v>
      </c>
      <c r="N23" s="31">
        <v>26.604746666666674</v>
      </c>
      <c r="O23" s="31"/>
      <c r="P23" s="31"/>
    </row>
    <row r="24" spans="1:19" ht="15" thickBot="1" x14ac:dyDescent="0.35">
      <c r="A24" s="325">
        <v>23</v>
      </c>
      <c r="B24" s="325">
        <v>35</v>
      </c>
      <c r="C24" s="325">
        <v>75</v>
      </c>
      <c r="D24" s="325">
        <v>200</v>
      </c>
      <c r="E24" s="325">
        <v>10</v>
      </c>
      <c r="F24" s="325">
        <v>35.700000000000003</v>
      </c>
      <c r="G24">
        <f>$L$27+$L$28*Table5[[#This Row],[Force]]+$L$29*Table5[[#This Row],[Power]]+$L$30*Table5[[#This Row],[Temperature]]+$L$31*Table5[[#This Row],[Time]]</f>
        <v>35.823333333333323</v>
      </c>
      <c r="H24" s="326">
        <f>Table5[[#This Row],[Strength]]-Table5[[#This Row],[Y-estm]]</f>
        <v>-0.12333333333332064</v>
      </c>
      <c r="I24" s="326">
        <f>Table5[[#This Row],[y-diff]]/Table5[[#This Row],[Strength]]</f>
        <v>-3.454715219420746E-3</v>
      </c>
      <c r="K24" s="340" t="s">
        <v>152</v>
      </c>
      <c r="L24" s="340">
        <v>29</v>
      </c>
      <c r="M24" s="340">
        <v>2325.2586666666662</v>
      </c>
      <c r="N24" s="340"/>
      <c r="O24" s="340"/>
      <c r="P24" s="340"/>
    </row>
    <row r="25" spans="1:19" ht="15" thickBot="1" x14ac:dyDescent="0.35">
      <c r="A25" s="326">
        <v>24</v>
      </c>
      <c r="B25" s="326">
        <v>35</v>
      </c>
      <c r="C25" s="326">
        <v>75</v>
      </c>
      <c r="D25" s="326">
        <v>200</v>
      </c>
      <c r="E25" s="326">
        <v>30</v>
      </c>
      <c r="F25" s="326">
        <v>41.8</v>
      </c>
      <c r="G25">
        <f>$L$27+$L$28*Table5[[#This Row],[Force]]+$L$29*Table5[[#This Row],[Power]]+$L$30*Table5[[#This Row],[Temperature]]+$L$31*Table5[[#This Row],[Time]]</f>
        <v>40.989999999999988</v>
      </c>
      <c r="H25" s="326">
        <f>Table5[[#This Row],[Strength]]-Table5[[#This Row],[Y-estm]]</f>
        <v>0.81000000000000938</v>
      </c>
      <c r="I25" s="326">
        <f>Table5[[#This Row],[y-diff]]/Table5[[#This Row],[Strength]]</f>
        <v>1.9377990430622237E-2</v>
      </c>
    </row>
    <row r="26" spans="1:19" x14ac:dyDescent="0.3">
      <c r="A26" s="325">
        <v>25</v>
      </c>
      <c r="B26" s="325">
        <v>35</v>
      </c>
      <c r="C26" s="325">
        <v>75</v>
      </c>
      <c r="D26" s="325">
        <v>200</v>
      </c>
      <c r="E26" s="325">
        <v>20</v>
      </c>
      <c r="F26" s="325">
        <v>36.5</v>
      </c>
      <c r="G26">
        <f>$L$27+$L$28*Table5[[#This Row],[Force]]+$L$29*Table5[[#This Row],[Power]]+$L$30*Table5[[#This Row],[Temperature]]+$L$31*Table5[[#This Row],[Time]]</f>
        <v>38.406666666666659</v>
      </c>
      <c r="H26" s="326">
        <f>Table5[[#This Row],[Strength]]-Table5[[#This Row],[Y-estm]]</f>
        <v>-1.9066666666666592</v>
      </c>
      <c r="I26" s="326">
        <f>Table5[[#This Row],[y-diff]]/Table5[[#This Row],[Strength]]</f>
        <v>-5.2237442922374228E-2</v>
      </c>
      <c r="K26" s="341"/>
      <c r="L26" s="341" t="s">
        <v>157</v>
      </c>
      <c r="M26" s="341" t="s">
        <v>147</v>
      </c>
      <c r="N26" s="341" t="s">
        <v>158</v>
      </c>
      <c r="O26" s="341" t="s">
        <v>159</v>
      </c>
      <c r="P26" s="341" t="s">
        <v>160</v>
      </c>
      <c r="Q26" s="341" t="s">
        <v>161</v>
      </c>
      <c r="R26" s="341" t="s">
        <v>162</v>
      </c>
      <c r="S26" s="341" t="s">
        <v>163</v>
      </c>
    </row>
    <row r="27" spans="1:19" x14ac:dyDescent="0.3">
      <c r="A27" s="326">
        <v>26</v>
      </c>
      <c r="B27" s="326">
        <v>35</v>
      </c>
      <c r="C27" s="326">
        <v>75</v>
      </c>
      <c r="D27" s="326">
        <v>200</v>
      </c>
      <c r="E27" s="326">
        <v>20</v>
      </c>
      <c r="F27" s="326">
        <v>37.6</v>
      </c>
      <c r="G27">
        <f>$L$27+$L$28*Table5[[#This Row],[Force]]+$L$29*Table5[[#This Row],[Power]]+$L$30*Table5[[#This Row],[Temperature]]+$L$31*Table5[[#This Row],[Time]]</f>
        <v>38.406666666666659</v>
      </c>
      <c r="H27" s="326">
        <f>Table5[[#This Row],[Strength]]-Table5[[#This Row],[Y-estm]]</f>
        <v>-0.80666666666665776</v>
      </c>
      <c r="I27" s="326">
        <f>Table5[[#This Row],[y-diff]]/Table5[[#This Row],[Strength]]</f>
        <v>-2.1453900709219622E-2</v>
      </c>
      <c r="K27" s="31" t="s">
        <v>124</v>
      </c>
      <c r="L27" s="31">
        <v>-37.476666666666695</v>
      </c>
      <c r="M27" s="31">
        <v>13.099641827164591</v>
      </c>
      <c r="N27" s="31">
        <v>-2.8608924702774483</v>
      </c>
      <c r="O27" s="31">
        <v>8.4124160508829305E-3</v>
      </c>
      <c r="P27" s="31">
        <v>-64.455884036971824</v>
      </c>
      <c r="Q27" s="31">
        <v>-10.49744929636157</v>
      </c>
      <c r="R27" s="31">
        <v>-64.455884036971824</v>
      </c>
      <c r="S27" s="31">
        <v>-10.49744929636157</v>
      </c>
    </row>
    <row r="28" spans="1:19" x14ac:dyDescent="0.3">
      <c r="A28" s="325">
        <v>27</v>
      </c>
      <c r="B28" s="325">
        <v>35</v>
      </c>
      <c r="C28" s="325">
        <v>75</v>
      </c>
      <c r="D28" s="325">
        <v>200</v>
      </c>
      <c r="E28" s="325">
        <v>20</v>
      </c>
      <c r="F28" s="325">
        <v>40.299999999999997</v>
      </c>
      <c r="G28">
        <f>$L$27+$L$28*Table5[[#This Row],[Force]]+$L$29*Table5[[#This Row],[Power]]+$L$30*Table5[[#This Row],[Temperature]]+$L$31*Table5[[#This Row],[Time]]</f>
        <v>38.406666666666659</v>
      </c>
      <c r="H28" s="326">
        <f>Table5[[#This Row],[Strength]]-Table5[[#This Row],[Y-estm]]</f>
        <v>1.893333333333338</v>
      </c>
      <c r="I28" s="326">
        <f>Table5[[#This Row],[y-diff]]/Table5[[#This Row],[Strength]]</f>
        <v>4.6980976013234199E-2</v>
      </c>
      <c r="K28" s="31" t="s">
        <v>126</v>
      </c>
      <c r="L28" s="31">
        <v>0.21166666666666684</v>
      </c>
      <c r="M28" s="31">
        <v>0.21057360813844758</v>
      </c>
      <c r="N28" s="31">
        <v>1.0051908619407832</v>
      </c>
      <c r="O28" s="31">
        <v>0.32443564413500547</v>
      </c>
      <c r="P28" s="31">
        <v>-0.22201779748683154</v>
      </c>
      <c r="Q28" s="31">
        <v>0.64535113082016515</v>
      </c>
      <c r="R28" s="31">
        <v>-0.22201779748683154</v>
      </c>
      <c r="S28" s="31">
        <v>0.64535113082016515</v>
      </c>
    </row>
    <row r="29" spans="1:19" x14ac:dyDescent="0.3">
      <c r="A29" s="326">
        <v>28</v>
      </c>
      <c r="B29" s="326">
        <v>35</v>
      </c>
      <c r="C29" s="326">
        <v>75</v>
      </c>
      <c r="D29" s="326">
        <v>200</v>
      </c>
      <c r="E29" s="326">
        <v>20</v>
      </c>
      <c r="F29" s="326">
        <v>46</v>
      </c>
      <c r="G29">
        <f>$L$27+$L$28*Table5[[#This Row],[Force]]+$L$29*Table5[[#This Row],[Power]]+$L$30*Table5[[#This Row],[Temperature]]+$L$31*Table5[[#This Row],[Time]]</f>
        <v>38.406666666666659</v>
      </c>
      <c r="H29" s="326">
        <f>Table5[[#This Row],[Strength]]-Table5[[#This Row],[Y-estm]]</f>
        <v>7.5933333333333408</v>
      </c>
      <c r="I29" s="326">
        <f>Table5[[#This Row],[y-diff]]/Table5[[#This Row],[Strength]]</f>
        <v>0.1650724637681161</v>
      </c>
      <c r="K29" s="31" t="s">
        <v>127</v>
      </c>
      <c r="L29" s="31">
        <v>0.49833333333333346</v>
      </c>
      <c r="M29" s="31">
        <v>7.0191202712815842E-2</v>
      </c>
      <c r="N29" s="31">
        <v>7.0996551429990724</v>
      </c>
      <c r="O29" s="31">
        <v>1.9282653771316458E-7</v>
      </c>
      <c r="P29" s="31">
        <v>0.35377184528216737</v>
      </c>
      <c r="Q29" s="31">
        <v>0.6428948213844996</v>
      </c>
      <c r="R29" s="31">
        <v>0.35377184528216737</v>
      </c>
      <c r="S29" s="31">
        <v>0.6428948213844996</v>
      </c>
    </row>
    <row r="30" spans="1:19" x14ac:dyDescent="0.3">
      <c r="A30" s="325">
        <v>29</v>
      </c>
      <c r="B30" s="325">
        <v>35</v>
      </c>
      <c r="C30" s="325">
        <v>75</v>
      </c>
      <c r="D30" s="325">
        <v>200</v>
      </c>
      <c r="E30" s="325">
        <v>20</v>
      </c>
      <c r="F30" s="325">
        <v>27.8</v>
      </c>
      <c r="G30">
        <f>$L$27+$L$28*Table5[[#This Row],[Force]]+$L$29*Table5[[#This Row],[Power]]+$L$30*Table5[[#This Row],[Temperature]]+$L$31*Table5[[#This Row],[Time]]</f>
        <v>38.406666666666659</v>
      </c>
      <c r="H30" s="326">
        <f>Table5[[#This Row],[Strength]]-Table5[[#This Row],[Y-estm]]</f>
        <v>-10.606666666666658</v>
      </c>
      <c r="I30" s="326">
        <f>Table5[[#This Row],[y-diff]]/Table5[[#This Row],[Strength]]</f>
        <v>-0.3815347721822539</v>
      </c>
      <c r="K30" s="31" t="s">
        <v>128</v>
      </c>
      <c r="L30" s="31">
        <v>0.12966666666666674</v>
      </c>
      <c r="M30" s="31">
        <v>4.2114721627689512E-2</v>
      </c>
      <c r="N30" s="31">
        <v>3.0788916952359418</v>
      </c>
      <c r="O30" s="31">
        <v>4.99162246653147E-3</v>
      </c>
      <c r="P30" s="31">
        <v>4.2929773835967078E-2</v>
      </c>
      <c r="Q30" s="31">
        <v>0.21640355949736639</v>
      </c>
      <c r="R30" s="31">
        <v>4.2929773835967078E-2</v>
      </c>
      <c r="S30" s="31">
        <v>0.21640355949736639</v>
      </c>
    </row>
    <row r="31" spans="1:19" ht="15" thickBot="1" x14ac:dyDescent="0.35">
      <c r="A31" s="334">
        <v>30</v>
      </c>
      <c r="B31" s="334">
        <v>35</v>
      </c>
      <c r="C31" s="334">
        <v>75</v>
      </c>
      <c r="D31" s="334">
        <v>200</v>
      </c>
      <c r="E31" s="334">
        <v>20</v>
      </c>
      <c r="F31" s="334">
        <v>40.299999999999997</v>
      </c>
      <c r="G31">
        <f>$L$27+$L$28*Table5[[#This Row],[Force]]+$L$29*Table5[[#This Row],[Power]]+$L$30*Table5[[#This Row],[Temperature]]+$L$31*Table5[[#This Row],[Time]]</f>
        <v>38.406666666666659</v>
      </c>
      <c r="H31" s="326">
        <f>Table5[[#This Row],[Strength]]-Table5[[#This Row],[Y-estm]]</f>
        <v>1.893333333333338</v>
      </c>
      <c r="I31" s="326">
        <f>Table5[[#This Row],[y-diff]]/Table5[[#This Row],[Strength]]</f>
        <v>4.6980976013234199E-2</v>
      </c>
      <c r="K31" s="340" t="s">
        <v>108</v>
      </c>
      <c r="L31" s="340">
        <v>0.25833333333333314</v>
      </c>
      <c r="M31" s="340">
        <v>0.21057360813844747</v>
      </c>
      <c r="N31" s="340">
        <v>1.2268077448883561</v>
      </c>
      <c r="O31" s="340">
        <v>0.2313237121293692</v>
      </c>
      <c r="P31" s="340">
        <v>-0.17535113082016501</v>
      </c>
      <c r="Q31" s="340">
        <v>0.69201779748683134</v>
      </c>
      <c r="R31" s="340">
        <v>-0.17535113082016501</v>
      </c>
      <c r="S31" s="340">
        <v>0.69201779748683134</v>
      </c>
    </row>
    <row r="32" spans="1:19" ht="15" thickBot="1" x14ac:dyDescent="0.35">
      <c r="A32" s="336" t="s">
        <v>46</v>
      </c>
      <c r="B32" s="337">
        <f>SUM(B2:B31)</f>
        <v>1050</v>
      </c>
      <c r="C32" s="337">
        <f t="shared" ref="C32:H32" si="0">SUM(C2:C31)</f>
        <v>2250</v>
      </c>
      <c r="D32" s="337">
        <f t="shared" si="0"/>
        <v>6000</v>
      </c>
      <c r="E32" s="337">
        <f t="shared" si="0"/>
        <v>600</v>
      </c>
      <c r="F32" s="337">
        <f t="shared" si="0"/>
        <v>1152.2</v>
      </c>
      <c r="G32" s="337">
        <f t="shared" si="0"/>
        <v>1152.2000000000003</v>
      </c>
      <c r="H32" s="337">
        <f>SUMSQ(H2:H31)</f>
        <v>665.11866666666663</v>
      </c>
      <c r="I32" s="337">
        <f>SUMSQ(I2:I31)</f>
        <v>0.51998815039915169</v>
      </c>
    </row>
    <row r="33" spans="8:12" ht="15" thickBot="1" x14ac:dyDescent="0.35"/>
    <row r="34" spans="8:12" ht="15" thickBot="1" x14ac:dyDescent="0.35">
      <c r="H34" t="s">
        <v>17</v>
      </c>
      <c r="I34" s="344">
        <f>(I32/L2)</f>
        <v>1.7332938346638391E-2</v>
      </c>
    </row>
    <row r="35" spans="8:12" x14ac:dyDescent="0.3">
      <c r="K35" t="s">
        <v>166</v>
      </c>
    </row>
    <row r="36" spans="8:12" ht="15" thickBot="1" x14ac:dyDescent="0.35"/>
    <row r="37" spans="8:12" x14ac:dyDescent="0.3">
      <c r="K37" s="341" t="s">
        <v>167</v>
      </c>
      <c r="L37" s="341" t="s">
        <v>129</v>
      </c>
    </row>
    <row r="38" spans="8:12" x14ac:dyDescent="0.3">
      <c r="K38" s="31">
        <v>1.6666666666666667</v>
      </c>
      <c r="L38" s="31">
        <v>22.7</v>
      </c>
    </row>
    <row r="39" spans="8:12" x14ac:dyDescent="0.3">
      <c r="K39" s="31">
        <v>5</v>
      </c>
      <c r="L39" s="31">
        <v>23.4</v>
      </c>
    </row>
    <row r="40" spans="8:12" x14ac:dyDescent="0.3">
      <c r="K40" s="31">
        <v>8.3333333333333339</v>
      </c>
      <c r="L40" s="31">
        <v>26.2</v>
      </c>
    </row>
    <row r="41" spans="8:12" x14ac:dyDescent="0.3">
      <c r="K41" s="31">
        <v>11.666666666666666</v>
      </c>
      <c r="L41" s="31">
        <v>26.3</v>
      </c>
    </row>
    <row r="42" spans="8:12" x14ac:dyDescent="0.3">
      <c r="K42" s="31">
        <v>15</v>
      </c>
      <c r="L42" s="31">
        <v>26.6</v>
      </c>
    </row>
    <row r="43" spans="8:12" x14ac:dyDescent="0.3">
      <c r="K43" s="31">
        <v>18.333333333333336</v>
      </c>
      <c r="L43" s="31">
        <v>27.8</v>
      </c>
    </row>
    <row r="44" spans="8:12" x14ac:dyDescent="0.3">
      <c r="K44" s="31">
        <v>21.666666666666668</v>
      </c>
      <c r="L44" s="31">
        <v>32.299999999999997</v>
      </c>
    </row>
    <row r="45" spans="8:12" x14ac:dyDescent="0.3">
      <c r="K45" s="31">
        <v>25.000000000000004</v>
      </c>
      <c r="L45" s="31">
        <v>34.5</v>
      </c>
    </row>
    <row r="46" spans="8:12" x14ac:dyDescent="0.3">
      <c r="K46" s="31">
        <v>28.333333333333336</v>
      </c>
      <c r="L46" s="31">
        <v>35.200000000000003</v>
      </c>
    </row>
    <row r="47" spans="8:12" x14ac:dyDescent="0.3">
      <c r="K47" s="31">
        <v>31.666666666666668</v>
      </c>
      <c r="L47" s="31">
        <v>35.5</v>
      </c>
    </row>
    <row r="48" spans="8:12" x14ac:dyDescent="0.3">
      <c r="K48" s="31">
        <v>35</v>
      </c>
      <c r="L48" s="31">
        <v>35.700000000000003</v>
      </c>
    </row>
    <row r="49" spans="11:12" x14ac:dyDescent="0.3">
      <c r="K49" s="31">
        <v>38.333333333333336</v>
      </c>
      <c r="L49" s="31">
        <v>36.5</v>
      </c>
    </row>
    <row r="50" spans="11:12" x14ac:dyDescent="0.3">
      <c r="K50" s="31">
        <v>41.666666666666664</v>
      </c>
      <c r="L50" s="31">
        <v>37.6</v>
      </c>
    </row>
    <row r="51" spans="11:12" x14ac:dyDescent="0.3">
      <c r="K51" s="31">
        <v>45</v>
      </c>
      <c r="L51" s="31">
        <v>37.799999999999997</v>
      </c>
    </row>
    <row r="52" spans="11:12" x14ac:dyDescent="0.3">
      <c r="K52" s="31">
        <v>48.333333333333336</v>
      </c>
      <c r="L52" s="31">
        <v>38.6</v>
      </c>
    </row>
    <row r="53" spans="11:12" x14ac:dyDescent="0.3">
      <c r="K53" s="31">
        <v>51.666666666666664</v>
      </c>
      <c r="L53" s="31">
        <v>38.6</v>
      </c>
    </row>
    <row r="54" spans="11:12" x14ac:dyDescent="0.3">
      <c r="K54" s="31">
        <v>55</v>
      </c>
      <c r="L54" s="31">
        <v>39.5</v>
      </c>
    </row>
    <row r="55" spans="11:12" x14ac:dyDescent="0.3">
      <c r="K55" s="31">
        <v>58.333333333333336</v>
      </c>
      <c r="L55" s="31">
        <v>39.700000000000003</v>
      </c>
    </row>
    <row r="56" spans="11:12" x14ac:dyDescent="0.3">
      <c r="K56" s="31">
        <v>61.666666666666664</v>
      </c>
      <c r="L56" s="31">
        <v>39.799999999999997</v>
      </c>
    </row>
    <row r="57" spans="11:12" x14ac:dyDescent="0.3">
      <c r="K57" s="31">
        <v>65</v>
      </c>
      <c r="L57" s="31">
        <v>40.299999999999997</v>
      </c>
    </row>
    <row r="58" spans="11:12" x14ac:dyDescent="0.3">
      <c r="K58" s="31">
        <v>68.333333333333343</v>
      </c>
      <c r="L58" s="31">
        <v>40.299999999999997</v>
      </c>
    </row>
    <row r="59" spans="11:12" x14ac:dyDescent="0.3">
      <c r="K59" s="31">
        <v>71.666666666666671</v>
      </c>
      <c r="L59" s="31">
        <v>41.8</v>
      </c>
    </row>
    <row r="60" spans="11:12" x14ac:dyDescent="0.3">
      <c r="K60" s="31">
        <v>75.000000000000014</v>
      </c>
      <c r="L60" s="31">
        <v>43</v>
      </c>
    </row>
    <row r="61" spans="11:12" x14ac:dyDescent="0.3">
      <c r="K61" s="31">
        <v>78.333333333333343</v>
      </c>
      <c r="L61" s="31">
        <v>44</v>
      </c>
    </row>
    <row r="62" spans="11:12" x14ac:dyDescent="0.3">
      <c r="K62" s="31">
        <v>81.666666666666671</v>
      </c>
      <c r="L62" s="31">
        <v>46</v>
      </c>
    </row>
    <row r="63" spans="11:12" x14ac:dyDescent="0.3">
      <c r="K63" s="31">
        <v>85.000000000000014</v>
      </c>
      <c r="L63" s="31">
        <v>46.9</v>
      </c>
    </row>
    <row r="64" spans="11:12" x14ac:dyDescent="0.3">
      <c r="K64" s="31">
        <v>88.333333333333343</v>
      </c>
      <c r="L64" s="31">
        <v>48.8</v>
      </c>
    </row>
    <row r="65" spans="11:12" x14ac:dyDescent="0.3">
      <c r="K65" s="31">
        <v>91.666666666666671</v>
      </c>
      <c r="L65" s="31">
        <v>52.1</v>
      </c>
    </row>
    <row r="66" spans="11:12" x14ac:dyDescent="0.3">
      <c r="K66" s="31">
        <v>95.000000000000014</v>
      </c>
      <c r="L66" s="31">
        <v>56</v>
      </c>
    </row>
    <row r="67" spans="11:12" ht="15" thickBot="1" x14ac:dyDescent="0.35">
      <c r="K67" s="340">
        <v>98.333333333333343</v>
      </c>
      <c r="L67" s="340">
        <v>58.7</v>
      </c>
    </row>
  </sheetData>
  <sortState xmlns:xlrd2="http://schemas.microsoft.com/office/spreadsheetml/2017/richdata2" ref="L38:L67">
    <sortCondition ref="L38"/>
  </sortState>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6F878-1B65-4C47-BACC-AE253D211714}">
  <dimension ref="A1:Q27"/>
  <sheetViews>
    <sheetView tabSelected="1" zoomScaleNormal="100" workbookViewId="0">
      <selection activeCell="O18" sqref="O18"/>
    </sheetView>
  </sheetViews>
  <sheetFormatPr defaultRowHeight="14.4" x14ac:dyDescent="0.3"/>
  <cols>
    <col min="1" max="1" width="10.6640625" bestFit="1" customWidth="1"/>
    <col min="2" max="2" width="11.21875" bestFit="1" customWidth="1"/>
    <col min="3" max="3" width="14" bestFit="1" customWidth="1"/>
    <col min="4" max="4" width="12.44140625" bestFit="1" customWidth="1"/>
    <col min="5" max="5" width="12" bestFit="1" customWidth="1"/>
    <col min="6" max="6" width="12.44140625" bestFit="1" customWidth="1"/>
    <col min="7" max="7" width="12.5546875" bestFit="1" customWidth="1"/>
    <col min="8" max="8" width="13.33203125" bestFit="1" customWidth="1"/>
    <col min="9" max="9" width="11.21875" bestFit="1" customWidth="1"/>
    <col min="10" max="10" width="11.5546875" bestFit="1" customWidth="1"/>
    <col min="12" max="12" width="12.109375" bestFit="1" customWidth="1"/>
    <col min="14" max="14" width="14.33203125" bestFit="1" customWidth="1"/>
    <col min="15" max="15" width="10.21875" bestFit="1" customWidth="1"/>
  </cols>
  <sheetData>
    <row r="1" spans="1:17" ht="15" thickBot="1" x14ac:dyDescent="0.35">
      <c r="A1" s="345" t="s">
        <v>170</v>
      </c>
      <c r="B1" s="346" t="s">
        <v>78</v>
      </c>
      <c r="C1" s="346" t="s">
        <v>206</v>
      </c>
      <c r="D1" s="40" t="s">
        <v>180</v>
      </c>
      <c r="E1" s="40" t="s">
        <v>181</v>
      </c>
      <c r="F1" s="40" t="s">
        <v>182</v>
      </c>
      <c r="G1" s="364" t="s">
        <v>183</v>
      </c>
      <c r="H1" s="40" t="s">
        <v>185</v>
      </c>
      <c r="I1" s="40" t="s">
        <v>187</v>
      </c>
      <c r="J1" s="40" t="s">
        <v>186</v>
      </c>
      <c r="K1" s="364" t="s">
        <v>205</v>
      </c>
    </row>
    <row r="2" spans="1:17" ht="15.6" thickTop="1" thickBot="1" x14ac:dyDescent="0.35">
      <c r="A2" s="347">
        <v>1</v>
      </c>
      <c r="B2" s="348" t="s">
        <v>20</v>
      </c>
      <c r="C2" s="348">
        <v>123</v>
      </c>
      <c r="D2" s="40"/>
      <c r="E2" s="40"/>
      <c r="F2" s="40"/>
      <c r="G2" s="40">
        <f>Table7[[#This Row],[Original Yt]]-$C$14</f>
        <v>-19</v>
      </c>
      <c r="H2" s="40"/>
      <c r="I2" s="40"/>
      <c r="J2" s="40"/>
      <c r="K2" s="335">
        <f>Table7[[#This Row],[Yt-Y^]]*Table7[[#This Row],[Yt-Y^]]</f>
        <v>361</v>
      </c>
      <c r="L2" cm="1">
        <f t="array" aca="1" ref="L2:L12" ca="1">OFFSET(G2:G13,1,0,11)</f>
        <v>-12</v>
      </c>
      <c r="M2" cm="1">
        <f t="array" aca="1" ref="M2:M12" ca="1">OFFSET(G2:G13,0,0,11)</f>
        <v>-19</v>
      </c>
    </row>
    <row r="3" spans="1:17" x14ac:dyDescent="0.3">
      <c r="A3" s="349">
        <v>2</v>
      </c>
      <c r="B3" s="350" t="s">
        <v>21</v>
      </c>
      <c r="C3" s="350">
        <v>130</v>
      </c>
      <c r="D3" s="40">
        <f t="shared" ref="D2:D13" si="0">C2</f>
        <v>123</v>
      </c>
      <c r="E3" s="40"/>
      <c r="F3" s="40"/>
      <c r="G3" s="40">
        <f>Table7[[#This Row],[Original Yt]]-$C$14</f>
        <v>-12</v>
      </c>
      <c r="H3" s="40">
        <f>Table7[[#This Row],[Yt-1]]-$C$14</f>
        <v>-19</v>
      </c>
      <c r="I3" s="40"/>
      <c r="J3" s="40"/>
      <c r="K3" s="335">
        <f>Table7[[#This Row],[Yt-Y^]]*Table7[[#This Row],[Yt-Y^]]</f>
        <v>144</v>
      </c>
      <c r="L3">
        <f ca="1"/>
        <v>-17</v>
      </c>
      <c r="M3">
        <f ca="1"/>
        <v>-12</v>
      </c>
      <c r="O3" s="357" t="s">
        <v>193</v>
      </c>
      <c r="P3" s="358">
        <v>0.95</v>
      </c>
    </row>
    <row r="4" spans="1:17" x14ac:dyDescent="0.3">
      <c r="A4" s="347">
        <v>3</v>
      </c>
      <c r="B4" s="348" t="s">
        <v>22</v>
      </c>
      <c r="C4" s="348">
        <v>125</v>
      </c>
      <c r="D4" s="40">
        <f t="shared" si="0"/>
        <v>130</v>
      </c>
      <c r="E4" s="40">
        <f t="shared" ref="E2:E13" si="1">D3</f>
        <v>123</v>
      </c>
      <c r="F4" s="40"/>
      <c r="G4" s="40">
        <f>Table7[[#This Row],[Original Yt]]-$C$14</f>
        <v>-17</v>
      </c>
      <c r="H4" s="40">
        <f>Table7[[#This Row],[Yt-1]]-$C$14</f>
        <v>-12</v>
      </c>
      <c r="I4" s="40">
        <f>Table7[[#This Row],[Yt-2]]-$C$14</f>
        <v>-19</v>
      </c>
      <c r="J4" s="40"/>
      <c r="K4" s="335">
        <f>Table7[[#This Row],[Yt-Y^]]*Table7[[#This Row],[Yt-Y^]]</f>
        <v>289</v>
      </c>
      <c r="L4">
        <f ca="1"/>
        <v>-4</v>
      </c>
      <c r="M4">
        <f ca="1"/>
        <v>-17</v>
      </c>
      <c r="O4" s="359" t="s">
        <v>194</v>
      </c>
      <c r="P4" s="360">
        <f>1-P3</f>
        <v>5.0000000000000044E-2</v>
      </c>
      <c r="Q4" s="356"/>
    </row>
    <row r="5" spans="1:17" x14ac:dyDescent="0.3">
      <c r="A5" s="349">
        <v>4</v>
      </c>
      <c r="B5" s="350" t="s">
        <v>23</v>
      </c>
      <c r="C5" s="350">
        <v>138</v>
      </c>
      <c r="D5" s="40">
        <f t="shared" si="0"/>
        <v>125</v>
      </c>
      <c r="E5" s="40">
        <f t="shared" si="1"/>
        <v>130</v>
      </c>
      <c r="F5" s="40">
        <f t="shared" ref="F2:F13" si="2">E4</f>
        <v>123</v>
      </c>
      <c r="G5" s="40">
        <f>Table7[[#This Row],[Original Yt]]-$C$14</f>
        <v>-4</v>
      </c>
      <c r="H5" s="40">
        <f>Table7[[#This Row],[Yt-1]]-$C$14</f>
        <v>-17</v>
      </c>
      <c r="I5" s="40">
        <f>Table7[[#This Row],[Yt-2]]-$C$14</f>
        <v>-12</v>
      </c>
      <c r="J5" s="40">
        <f>Table7[[#This Row],[Yt-3]]-$C$14</f>
        <v>-19</v>
      </c>
      <c r="K5" s="335">
        <f>Table7[[#This Row],[Yt-Y^]]*Table7[[#This Row],[Yt-Y^]]</f>
        <v>16</v>
      </c>
      <c r="L5">
        <f ca="1"/>
        <v>3</v>
      </c>
      <c r="M5">
        <f ca="1"/>
        <v>-4</v>
      </c>
      <c r="O5" s="359" t="s">
        <v>195</v>
      </c>
      <c r="P5" s="361">
        <f>P4/2</f>
        <v>2.5000000000000022E-2</v>
      </c>
    </row>
    <row r="6" spans="1:17" ht="15" thickBot="1" x14ac:dyDescent="0.35">
      <c r="A6" s="347">
        <v>5</v>
      </c>
      <c r="B6" s="348" t="s">
        <v>24</v>
      </c>
      <c r="C6" s="348">
        <v>145</v>
      </c>
      <c r="D6" s="40">
        <f t="shared" si="0"/>
        <v>138</v>
      </c>
      <c r="E6" s="40">
        <f t="shared" si="1"/>
        <v>125</v>
      </c>
      <c r="F6" s="40">
        <f t="shared" si="2"/>
        <v>130</v>
      </c>
      <c r="G6" s="40">
        <f>Table7[[#This Row],[Original Yt]]-$C$14</f>
        <v>3</v>
      </c>
      <c r="H6" s="40">
        <f>Table7[[#This Row],[Yt-1]]-$C$14</f>
        <v>-4</v>
      </c>
      <c r="I6" s="40">
        <f>Table7[[#This Row],[Yt-2]]-$C$14</f>
        <v>-17</v>
      </c>
      <c r="J6" s="40">
        <f>Table7[[#This Row],[Yt-3]]-$C$14</f>
        <v>-12</v>
      </c>
      <c r="K6" s="335">
        <f>Table7[[#This Row],[Yt-Y^]]*Table7[[#This Row],[Yt-Y^]]</f>
        <v>9</v>
      </c>
      <c r="L6">
        <f ca="1"/>
        <v>0</v>
      </c>
      <c r="M6">
        <f ca="1"/>
        <v>3</v>
      </c>
      <c r="O6" s="362" t="s">
        <v>196</v>
      </c>
      <c r="P6" s="363">
        <f>_xlfn.T.INV(1-P5,B15-1)</f>
        <v>2.2009851600916384</v>
      </c>
    </row>
    <row r="7" spans="1:17" x14ac:dyDescent="0.3">
      <c r="A7" s="349">
        <v>6</v>
      </c>
      <c r="B7" s="350" t="s">
        <v>25</v>
      </c>
      <c r="C7" s="350">
        <v>142</v>
      </c>
      <c r="D7" s="40">
        <f t="shared" si="0"/>
        <v>145</v>
      </c>
      <c r="E7" s="40">
        <f t="shared" si="1"/>
        <v>138</v>
      </c>
      <c r="F7" s="40">
        <f t="shared" si="2"/>
        <v>125</v>
      </c>
      <c r="G7" s="40">
        <f>Table7[[#This Row],[Original Yt]]-$C$14</f>
        <v>0</v>
      </c>
      <c r="H7" s="40">
        <f>Table7[[#This Row],[Yt-1]]-$C$14</f>
        <v>3</v>
      </c>
      <c r="I7" s="40">
        <f>Table7[[#This Row],[Yt-2]]-$C$14</f>
        <v>-4</v>
      </c>
      <c r="J7" s="40">
        <f>Table7[[#This Row],[Yt-3]]-$C$14</f>
        <v>-17</v>
      </c>
      <c r="K7" s="335">
        <f>Table7[[#This Row],[Yt-Y^]]*Table7[[#This Row],[Yt-Y^]]</f>
        <v>0</v>
      </c>
      <c r="L7">
        <f ca="1"/>
        <v>-1</v>
      </c>
      <c r="M7">
        <f ca="1"/>
        <v>0</v>
      </c>
    </row>
    <row r="8" spans="1:17" x14ac:dyDescent="0.3">
      <c r="A8" s="347">
        <v>7</v>
      </c>
      <c r="B8" s="348" t="s">
        <v>26</v>
      </c>
      <c r="C8" s="348">
        <v>141</v>
      </c>
      <c r="D8" s="40">
        <f t="shared" si="0"/>
        <v>142</v>
      </c>
      <c r="E8" s="40">
        <f t="shared" si="1"/>
        <v>145</v>
      </c>
      <c r="F8" s="40">
        <f t="shared" si="2"/>
        <v>138</v>
      </c>
      <c r="G8" s="40">
        <f>Table7[[#This Row],[Original Yt]]-$C$14</f>
        <v>-1</v>
      </c>
      <c r="H8" s="40">
        <f>Table7[[#This Row],[Yt-1]]-$C$14</f>
        <v>0</v>
      </c>
      <c r="I8" s="40">
        <f>Table7[[#This Row],[Yt-2]]-$C$14</f>
        <v>3</v>
      </c>
      <c r="J8" s="40">
        <f>Table7[[#This Row],[Yt-3]]-$C$14</f>
        <v>-4</v>
      </c>
      <c r="K8" s="335">
        <f>Table7[[#This Row],[Yt-Y^]]*Table7[[#This Row],[Yt-Y^]]</f>
        <v>1</v>
      </c>
      <c r="L8">
        <f ca="1"/>
        <v>4</v>
      </c>
      <c r="M8">
        <f ca="1"/>
        <v>-1</v>
      </c>
    </row>
    <row r="9" spans="1:17" x14ac:dyDescent="0.3">
      <c r="A9" s="349">
        <v>8</v>
      </c>
      <c r="B9" s="350" t="s">
        <v>27</v>
      </c>
      <c r="C9" s="350">
        <v>146</v>
      </c>
      <c r="D9" s="40">
        <f t="shared" si="0"/>
        <v>141</v>
      </c>
      <c r="E9" s="40">
        <f t="shared" si="1"/>
        <v>142</v>
      </c>
      <c r="F9" s="40">
        <f t="shared" si="2"/>
        <v>145</v>
      </c>
      <c r="G9" s="40">
        <f>Table7[[#This Row],[Original Yt]]-$C$14</f>
        <v>4</v>
      </c>
      <c r="H9" s="40">
        <f>Table7[[#This Row],[Yt-1]]-$C$14</f>
        <v>-1</v>
      </c>
      <c r="I9" s="40">
        <f>Table7[[#This Row],[Yt-2]]-$C$14</f>
        <v>0</v>
      </c>
      <c r="J9" s="40">
        <f>Table7[[#This Row],[Yt-3]]-$C$14</f>
        <v>3</v>
      </c>
      <c r="K9" s="335">
        <f>Table7[[#This Row],[Yt-Y^]]*Table7[[#This Row],[Yt-Y^]]</f>
        <v>16</v>
      </c>
      <c r="L9">
        <f ca="1"/>
        <v>5</v>
      </c>
      <c r="M9">
        <f ca="1"/>
        <v>4</v>
      </c>
    </row>
    <row r="10" spans="1:17" x14ac:dyDescent="0.3">
      <c r="A10" s="347">
        <v>9</v>
      </c>
      <c r="B10" s="348" t="s">
        <v>28</v>
      </c>
      <c r="C10" s="348">
        <v>147</v>
      </c>
      <c r="D10" s="40">
        <f t="shared" si="0"/>
        <v>146</v>
      </c>
      <c r="E10" s="40">
        <f t="shared" si="1"/>
        <v>141</v>
      </c>
      <c r="F10" s="40">
        <f t="shared" si="2"/>
        <v>142</v>
      </c>
      <c r="G10" s="40">
        <f>Table7[[#This Row],[Original Yt]]-$C$14</f>
        <v>5</v>
      </c>
      <c r="H10" s="40">
        <f>Table7[[#This Row],[Yt-1]]-$C$14</f>
        <v>4</v>
      </c>
      <c r="I10" s="40">
        <f>Table7[[#This Row],[Yt-2]]-$C$14</f>
        <v>-1</v>
      </c>
      <c r="J10" s="40">
        <f>Table7[[#This Row],[Yt-3]]-$C$14</f>
        <v>0</v>
      </c>
      <c r="K10" s="335">
        <f>Table7[[#This Row],[Yt-Y^]]*Table7[[#This Row],[Yt-Y^]]</f>
        <v>25</v>
      </c>
      <c r="L10">
        <f ca="1"/>
        <v>15</v>
      </c>
      <c r="M10">
        <f ca="1"/>
        <v>5</v>
      </c>
    </row>
    <row r="11" spans="1:17" x14ac:dyDescent="0.3">
      <c r="A11" s="349">
        <v>10</v>
      </c>
      <c r="B11" s="350" t="s">
        <v>29</v>
      </c>
      <c r="C11" s="350">
        <v>157</v>
      </c>
      <c r="D11" s="40">
        <f t="shared" si="0"/>
        <v>147</v>
      </c>
      <c r="E11" s="40">
        <f t="shared" si="1"/>
        <v>146</v>
      </c>
      <c r="F11" s="40">
        <f t="shared" si="2"/>
        <v>141</v>
      </c>
      <c r="G11" s="40">
        <f>Table7[[#This Row],[Original Yt]]-$C$14</f>
        <v>15</v>
      </c>
      <c r="H11" s="40">
        <f>Table7[[#This Row],[Yt-1]]-$C$14</f>
        <v>5</v>
      </c>
      <c r="I11" s="40">
        <f>Table7[[#This Row],[Yt-2]]-$C$14</f>
        <v>4</v>
      </c>
      <c r="J11" s="40">
        <f>Table7[[#This Row],[Yt-3]]-$C$14</f>
        <v>-1</v>
      </c>
      <c r="K11" s="335">
        <f>Table7[[#This Row],[Yt-Y^]]*Table7[[#This Row],[Yt-Y^]]</f>
        <v>225</v>
      </c>
      <c r="L11">
        <f ca="1"/>
        <v>8</v>
      </c>
      <c r="M11">
        <f ca="1"/>
        <v>15</v>
      </c>
    </row>
    <row r="12" spans="1:17" x14ac:dyDescent="0.3">
      <c r="A12" s="347">
        <v>11</v>
      </c>
      <c r="B12" s="348" t="s">
        <v>30</v>
      </c>
      <c r="C12" s="348">
        <v>150</v>
      </c>
      <c r="D12" s="40">
        <f t="shared" si="0"/>
        <v>157</v>
      </c>
      <c r="E12" s="40">
        <f t="shared" si="1"/>
        <v>147</v>
      </c>
      <c r="F12" s="40">
        <f t="shared" si="2"/>
        <v>146</v>
      </c>
      <c r="G12" s="40">
        <f>Table7[[#This Row],[Original Yt]]-$C$14</f>
        <v>8</v>
      </c>
      <c r="H12" s="40">
        <f>Table7[[#This Row],[Yt-1]]-$C$14</f>
        <v>15</v>
      </c>
      <c r="I12" s="40">
        <f>Table7[[#This Row],[Yt-2]]-$C$14</f>
        <v>5</v>
      </c>
      <c r="J12" s="40">
        <f>Table7[[#This Row],[Yt-3]]-$C$14</f>
        <v>4</v>
      </c>
      <c r="K12" s="335">
        <f>Table7[[#This Row],[Yt-Y^]]*Table7[[#This Row],[Yt-Y^]]</f>
        <v>64</v>
      </c>
      <c r="L12">
        <f ca="1"/>
        <v>18</v>
      </c>
      <c r="M12">
        <f ca="1"/>
        <v>8</v>
      </c>
    </row>
    <row r="13" spans="1:17" x14ac:dyDescent="0.3">
      <c r="A13" s="351">
        <v>12</v>
      </c>
      <c r="B13" s="352" t="s">
        <v>31</v>
      </c>
      <c r="C13" s="352">
        <v>160</v>
      </c>
      <c r="D13" s="40">
        <f t="shared" si="0"/>
        <v>150</v>
      </c>
      <c r="E13" s="40">
        <f t="shared" si="1"/>
        <v>157</v>
      </c>
      <c r="F13" s="40">
        <f t="shared" si="2"/>
        <v>147</v>
      </c>
      <c r="G13" s="40">
        <f>Table7[[#This Row],[Original Yt]]-$C$14</f>
        <v>18</v>
      </c>
      <c r="H13" s="40">
        <f>Table7[[#This Row],[Yt-1]]-$C$14</f>
        <v>8</v>
      </c>
      <c r="I13" s="40">
        <f>Table7[[#This Row],[Yt-2]]-$C$14</f>
        <v>15</v>
      </c>
      <c r="J13" s="40">
        <f>Table7[[#This Row],[Yt-3]]-$C$14</f>
        <v>5</v>
      </c>
      <c r="K13" s="335">
        <f>Table7[[#This Row],[Yt-Y^]]*Table7[[#This Row],[Yt-Y^]]</f>
        <v>324</v>
      </c>
    </row>
    <row r="14" spans="1:17" x14ac:dyDescent="0.3">
      <c r="A14" s="365"/>
      <c r="B14" s="366" t="s">
        <v>184</v>
      </c>
      <c r="C14" s="366">
        <f>AVERAGE(C2:C13)</f>
        <v>142</v>
      </c>
      <c r="D14" s="367"/>
      <c r="E14" s="367"/>
      <c r="F14" s="367"/>
      <c r="G14" s="368">
        <f>SUM(G2:G13)</f>
        <v>0</v>
      </c>
      <c r="H14" s="368"/>
      <c r="I14" s="368"/>
      <c r="J14" s="368"/>
      <c r="K14" s="369">
        <f>SUM(K2:K13)</f>
        <v>1474</v>
      </c>
    </row>
    <row r="15" spans="1:17" x14ac:dyDescent="0.3">
      <c r="A15" s="355" t="s">
        <v>118</v>
      </c>
      <c r="B15" s="355">
        <f>COUNT(Table7[Time t])</f>
        <v>12</v>
      </c>
    </row>
    <row r="17" spans="1:14" x14ac:dyDescent="0.3">
      <c r="A17" s="370" t="s">
        <v>2</v>
      </c>
      <c r="B17" s="370" t="s">
        <v>171</v>
      </c>
      <c r="C17" s="40" t="s">
        <v>179</v>
      </c>
      <c r="D17" s="40" t="s">
        <v>188</v>
      </c>
      <c r="E17" s="40" t="s">
        <v>192</v>
      </c>
      <c r="F17" s="40" t="s">
        <v>197</v>
      </c>
      <c r="G17" s="40" t="s">
        <v>198</v>
      </c>
      <c r="H17" s="40" t="s">
        <v>199</v>
      </c>
      <c r="I17" s="40" t="s">
        <v>200</v>
      </c>
      <c r="J17" s="40" t="s">
        <v>201</v>
      </c>
      <c r="K17" s="40" t="s">
        <v>202</v>
      </c>
      <c r="L17" s="40" t="s">
        <v>203</v>
      </c>
      <c r="M17" s="40" t="s">
        <v>204</v>
      </c>
      <c r="N17" t="s">
        <v>207</v>
      </c>
    </row>
    <row r="18" spans="1:14" x14ac:dyDescent="0.3">
      <c r="A18" s="371">
        <v>1</v>
      </c>
      <c r="B18" s="353" t="s">
        <v>172</v>
      </c>
      <c r="C18" s="40">
        <f t="shared" ref="C18:C24" si="3">SUMPRODUCT(H3:H13,G3:G13)/SUMPRODUCT(G2:G13,G2:G13)</f>
        <v>0.57191316146540028</v>
      </c>
      <c r="D18" s="40" cm="1">
        <f t="array" aca="1" ref="D18" ca="1">SUMPRODUCT(OFFSET($G$2:$G$13,Table6[[#This Row],[Sl No]],0,$B$15-1),OFFSET($G$2:$G$13,0,0,$B$15-1))/SUM($G$2:$G$13^2)</f>
        <v>0.57191316146540028</v>
      </c>
      <c r="E18" s="40">
        <f t="shared" ref="E18:E27" si="4">SQRT(1/B15)</f>
        <v>0.28867513459481287</v>
      </c>
      <c r="F18" s="40">
        <f>Table6[[#This Row],[Sum Error]]*$P$6*-1</f>
        <v>-0.63536968733063948</v>
      </c>
      <c r="G18" s="40">
        <f>Table6[[#This Row],[Sum Error]]*$P$6*1</f>
        <v>0.63536968733063948</v>
      </c>
      <c r="H18" s="40" t="str">
        <f>IF(Table6[[#This Row],[Sum Error]]&gt;Table6[[#This Row],[LowerLimit]],IF(Table6[[#This Row],[Sum Error]]&lt;Table6[[#This Row],[UpperLimit]],"YES","NO"),"NO")</f>
        <v>YES</v>
      </c>
      <c r="I18" s="40">
        <f ca="1">Table6[[#This Row],[ACF Coeff2]]/Table6[[#This Row],[Sum Error]]</f>
        <v>1.9811653063508325</v>
      </c>
      <c r="J18" s="335" t="str">
        <f ca="1">IF(ABS(Table6[[#This Row],[T-statistic]])&gt;$P$6,"Reject","Fail to Reject")</f>
        <v>Fail to Reject</v>
      </c>
      <c r="K18" s="335">
        <f ca="1">(Table6[[#This Row],[ACF Coeff2]]^2)/($B$15-Table6[[#This Row],[Sl No]])</f>
        <v>2.9734969477940819E-2</v>
      </c>
      <c r="L18" s="335">
        <f ca="1">SUM($K$18:K18)</f>
        <v>2.9734969477940819E-2</v>
      </c>
      <c r="M18" s="335">
        <f ca="1">Table6[[#This Row],[Sum(prev)]]*$B$15*($B$15+2)</f>
        <v>4.9954748722940572</v>
      </c>
      <c r="N18" s="333">
        <f>_xlfn.CHISQ.INV(1-$P$4,Table6[[#This Row],[Sl No]])</f>
        <v>3.8414588206941236</v>
      </c>
    </row>
    <row r="19" spans="1:14" x14ac:dyDescent="0.3">
      <c r="A19" s="372">
        <v>2</v>
      </c>
      <c r="B19" s="354" t="s">
        <v>173</v>
      </c>
      <c r="C19" s="40">
        <f>SUMPRODUCT(I4:I13,G4:G13)/SUMPRODUCT(G2:G13,G2:G13)</f>
        <v>0.46268656716417911</v>
      </c>
      <c r="D19" s="40" cm="1">
        <f t="array" aca="1" ref="D19" ca="1">SUMPRODUCT(OFFSET($G$2:$G$13,Table6[[#This Row],[Sl No]],0,$B$15-1),OFFSET($G$2:$G$13,0,0,$B$15-1))/SUM($G$2:$G$13^2)</f>
        <v>0.46268656716417911</v>
      </c>
      <c r="E19" s="40" cm="1">
        <f t="array" aca="1" ref="E19" ca="1">SQRT((1+2*SUM(($D$18:D18^2)))/$B$15)</f>
        <v>0.37127812222495887</v>
      </c>
      <c r="F19" s="40">
        <f ca="1">Table6[[#This Row],[Sum Error]]*$P$6*-1</f>
        <v>-0.81717763728382398</v>
      </c>
      <c r="G19" s="40">
        <f ca="1">Table6[[#This Row],[Sum Error]]*$P$6*1</f>
        <v>0.81717763728382398</v>
      </c>
      <c r="H19" s="40" t="str">
        <f ca="1">IF(Table6[[#This Row],[Sum Error]]&gt;Table6[[#This Row],[LowerLimit]],IF(Table6[[#This Row],[Sum Error]]&lt;Table6[[#This Row],[UpperLimit]],"YES","NO"),"NO")</f>
        <v>YES</v>
      </c>
      <c r="I19" s="40">
        <f ca="1">Table6[[#This Row],[ACF Coeff2]]/Table6[[#This Row],[Sum Error]]</f>
        <v>1.2461993838781471</v>
      </c>
      <c r="J19" s="335" t="str">
        <f ca="1">IF(ABS(Table6[[#This Row],[T-statistic]])&gt;$P$6,"Reject","Fail to Reject")</f>
        <v>Fail to Reject</v>
      </c>
      <c r="K19" s="335">
        <f ca="1">(Table6[[#This Row],[ACF Coeff2]]^2)/($B$15-Table6[[#This Row],[Sl No]])</f>
        <v>2.1407885943417242E-2</v>
      </c>
      <c r="L19" s="335">
        <f ca="1">SUM($K$18:K19)</f>
        <v>5.1142855421358061E-2</v>
      </c>
      <c r="M19" s="335">
        <f ca="1">Table6[[#This Row],[Sum(prev)]]*$B$15*($B$15+2)</f>
        <v>8.5919997107881549</v>
      </c>
      <c r="N19" s="333">
        <f>_xlfn.CHISQ.INV(1-$P$4,Table6[[#This Row],[Sl No]])</f>
        <v>5.9914645471079799</v>
      </c>
    </row>
    <row r="20" spans="1:14" x14ac:dyDescent="0.3">
      <c r="A20" s="371">
        <v>3</v>
      </c>
      <c r="B20" s="353" t="s">
        <v>174</v>
      </c>
      <c r="C20" s="40">
        <f>SUMPRODUCT(J5:J13,G5:G13)/SUMPRODUCT(G2:G13,G2:G13)</f>
        <v>0.11058344640434192</v>
      </c>
      <c r="D20" s="40" cm="1">
        <f t="array" aca="1" ref="D20" ca="1">SUMPRODUCT(OFFSET($G$2:$G$13,Table6[[#This Row],[Sl No]],0,$B$15-1),OFFSET($G$2:$G$13,0,0,$B$15-1))/SUM($G$2:$G$13^2)</f>
        <v>0.11058344640434192</v>
      </c>
      <c r="E20" s="40" cm="1">
        <f t="array" aca="1" ref="E20" ca="1">SQRT((1+2*SUM(($D$18:D19^2)))/$B$15)</f>
        <v>0.41656602591736508</v>
      </c>
      <c r="F20" s="40">
        <f ca="1">Table6[[#This Row],[Sum Error]]*$P$6*-1</f>
        <v>-0.91685564124246932</v>
      </c>
      <c r="G20" s="40">
        <f ca="1">Table6[[#This Row],[Sum Error]]*$P$6*1</f>
        <v>0.91685564124246932</v>
      </c>
      <c r="H20" s="40" t="str">
        <f ca="1">IF(Table6[[#This Row],[Sum Error]]&gt;Table6[[#This Row],[LowerLimit]],IF(Table6[[#This Row],[Sum Error]]&lt;Table6[[#This Row],[UpperLimit]],"YES","NO"),"NO")</f>
        <v>YES</v>
      </c>
      <c r="I20" s="40">
        <f ca="1">Table6[[#This Row],[ACF Coeff2]]/Table6[[#This Row],[Sum Error]]</f>
        <v>0.26546439105496938</v>
      </c>
      <c r="J20" s="335" t="str">
        <f ca="1">IF(ABS(Table6[[#This Row],[T-statistic]])&gt;$P$6,"Reject","Fail to Reject")</f>
        <v>Fail to Reject</v>
      </c>
      <c r="K20" s="335">
        <f ca="1">(Table6[[#This Row],[ACF Coeff2]]^2)/($B$15-Table6[[#This Row],[Sl No]])</f>
        <v>1.3587442909624404E-3</v>
      </c>
      <c r="L20" s="335">
        <f ca="1">SUM($K$18:K20)</f>
        <v>5.2501599712320504E-2</v>
      </c>
      <c r="M20" s="335">
        <f ca="1">Table6[[#This Row],[Sum(prev)]]*$B$15*($B$15+2)</f>
        <v>8.820268751669845</v>
      </c>
      <c r="N20" s="333">
        <f>_xlfn.CHISQ.INV(1-$P$4,Table6[[#This Row],[Sl No]])</f>
        <v>7.8147279032511774</v>
      </c>
    </row>
    <row r="21" spans="1:14" x14ac:dyDescent="0.3">
      <c r="A21" s="372">
        <v>4</v>
      </c>
      <c r="B21" s="354" t="s">
        <v>175</v>
      </c>
      <c r="C21" s="40"/>
      <c r="D21" s="40" cm="1">
        <f t="array" aca="1" ref="D21" ca="1">SUMPRODUCT(OFFSET($G$2:$G$13,Table6[[#This Row],[Sl No]],0,$B$15-1),OFFSET($G$2:$G$13,0,0,$B$15-1))/SUM($G$2:$G$13^2)</f>
        <v>1.5603799185888738E-2</v>
      </c>
      <c r="E21" s="40" cm="1">
        <f t="array" aca="1" ref="E21" ca="1">SQRT((1+2*SUM(($D$18:D20^2)))/$B$15)</f>
        <v>0.41900521522414319</v>
      </c>
      <c r="F21" s="40">
        <f ca="1">Table6[[#This Row],[Sum Error]]*$P$6*-1</f>
        <v>-0.92222426070934216</v>
      </c>
      <c r="G21" s="40">
        <f ca="1">Table6[[#This Row],[Sum Error]]*$P$6*1</f>
        <v>0.92222426070934216</v>
      </c>
      <c r="H21" s="40" t="str">
        <f ca="1">IF(Table6[[#This Row],[Sum Error]]&gt;Table6[[#This Row],[LowerLimit]],IF(Table6[[#This Row],[Sum Error]]&lt;Table6[[#This Row],[UpperLimit]],"YES","NO"),"NO")</f>
        <v>YES</v>
      </c>
      <c r="I21" s="40">
        <f ca="1">Table6[[#This Row],[ACF Coeff2]]/Table6[[#This Row],[Sum Error]]</f>
        <v>3.7240107327880446E-2</v>
      </c>
      <c r="J21" s="335" t="str">
        <f ca="1">IF(ABS(Table6[[#This Row],[T-statistic]])&gt;$P$6,"Reject","Fail to Reject")</f>
        <v>Fail to Reject</v>
      </c>
      <c r="K21" s="335">
        <f ca="1">(Table6[[#This Row],[ACF Coeff2]]^2)/($B$15-Table6[[#This Row],[Sl No]])</f>
        <v>3.0434818629192758E-5</v>
      </c>
      <c r="L21" s="335">
        <f ca="1">SUM($K$18:K21)</f>
        <v>5.2532034530949699E-2</v>
      </c>
      <c r="M21" s="335">
        <f ca="1">Table6[[#This Row],[Sum(prev)]]*$B$15*($B$15+2)</f>
        <v>8.8253818011995495</v>
      </c>
      <c r="N21" s="333">
        <f>_xlfn.CHISQ.INV(1-$P$4,Table6[[#This Row],[Sl No]])</f>
        <v>9.4877290367811575</v>
      </c>
    </row>
    <row r="22" spans="1:14" x14ac:dyDescent="0.3">
      <c r="A22" s="371">
        <v>5</v>
      </c>
      <c r="B22" s="353" t="s">
        <v>176</v>
      </c>
      <c r="C22" s="40"/>
      <c r="D22" s="40" cm="1">
        <f t="array" aca="1" ref="D22" ca="1">SUMPRODUCT(OFFSET($G$2:$G$13,Table6[[#This Row],[Sl No]],0,$B$15-1),OFFSET($G$2:$G$13,0,0,$B$15-1))/SUM($G$2:$G$13^2)</f>
        <v>-3.3242876526458617E-2</v>
      </c>
      <c r="E22" s="40" cm="1">
        <f t="array" aca="1" ref="E22" ca="1">SQRT((1+2*SUM(($D$18:D21^2)))/$B$15)</f>
        <v>0.41905363635601922</v>
      </c>
      <c r="F22" s="40">
        <f ca="1">Table6[[#This Row],[Sum Error]]*$P$6*-1</f>
        <v>-0.92233083490203616</v>
      </c>
      <c r="G22" s="40">
        <f ca="1">Table6[[#This Row],[Sum Error]]*$P$6*1</f>
        <v>0.92233083490203616</v>
      </c>
      <c r="H22" s="40" t="str">
        <f ca="1">IF(Table6[[#This Row],[Sum Error]]&gt;Table6[[#This Row],[LowerLimit]],IF(Table6[[#This Row],[Sum Error]]&lt;Table6[[#This Row],[UpperLimit]],"YES","NO"),"NO")</f>
        <v>YES</v>
      </c>
      <c r="I22" s="40">
        <f ca="1">Table6[[#This Row],[ACF Coeff2]]/Table6[[#This Row],[Sum Error]]</f>
        <v>-7.9328452595066282E-2</v>
      </c>
      <c r="J22" s="335" t="str">
        <f ca="1">IF(ABS(Table6[[#This Row],[T-statistic]])&gt;$P$6,"Reject","Fail to Reject")</f>
        <v>Fail to Reject</v>
      </c>
      <c r="K22" s="335">
        <f ca="1">(Table6[[#This Row],[ACF Coeff2]]^2)/($B$15-Table6[[#This Row],[Sl No]])</f>
        <v>1.5786983425048192E-4</v>
      </c>
      <c r="L22" s="335">
        <f ca="1">SUM($K$18:K22)</f>
        <v>5.2689904365200178E-2</v>
      </c>
      <c r="M22" s="335">
        <f ca="1">Table6[[#This Row],[Sum(prev)]]*$B$15*($B$15+2)</f>
        <v>8.8519039333536291</v>
      </c>
      <c r="N22" s="333">
        <f>_xlfn.CHISQ.INV(1-$P$4,Table6[[#This Row],[Sl No]])</f>
        <v>11.070497693516351</v>
      </c>
    </row>
    <row r="23" spans="1:14" x14ac:dyDescent="0.3">
      <c r="A23" s="372">
        <v>6</v>
      </c>
      <c r="B23" s="354" t="s">
        <v>177</v>
      </c>
      <c r="C23" s="40"/>
      <c r="D23" s="40" cm="1">
        <f t="array" aca="1" ref="D23" ca="1">SUMPRODUCT(OFFSET($G$2:$G$13,Table6[[#This Row],[Sl No]],0,$B$15-1),OFFSET($G$2:$G$13,0,0,$B$15-1))/SUM($G$2:$G$13^2)</f>
        <v>-9.8315496948001943E-2</v>
      </c>
      <c r="E23" s="40" cm="1">
        <f t="array" aca="1" ref="E23" ca="1">SQRT((1+2*SUM(($D$18:D22^2)))/$B$15)</f>
        <v>0.41927333759314467</v>
      </c>
      <c r="F23" s="40">
        <f ca="1">Table6[[#This Row],[Sum Error]]*$P$6*-1</f>
        <v>-0.92281439406460308</v>
      </c>
      <c r="G23" s="40">
        <f ca="1">Table6[[#This Row],[Sum Error]]*$P$6*1</f>
        <v>0.92281439406460308</v>
      </c>
      <c r="H23" s="40" t="str">
        <f ca="1">IF(Table6[[#This Row],[Sum Error]]&gt;Table6[[#This Row],[LowerLimit]],IF(Table6[[#This Row],[Sum Error]]&lt;Table6[[#This Row],[UpperLimit]],"YES","NO"),"NO")</f>
        <v>YES</v>
      </c>
      <c r="I23" s="40">
        <f ca="1">Table6[[#This Row],[ACF Coeff2]]/Table6[[#This Row],[Sum Error]]</f>
        <v>-0.23449021946491036</v>
      </c>
      <c r="J23" s="335" t="str">
        <f ca="1">IF(ABS(Table6[[#This Row],[T-statistic]])&gt;$P$6,"Reject","Fail to Reject")</f>
        <v>Fail to Reject</v>
      </c>
      <c r="K23" s="335">
        <f ca="1">(Table6[[#This Row],[ACF Coeff2]]^2)/($B$15-Table6[[#This Row],[Sl No]])</f>
        <v>1.6109894900220966E-3</v>
      </c>
      <c r="L23" s="335">
        <f ca="1">SUM($K$18:K23)</f>
        <v>5.4300893855222278E-2</v>
      </c>
      <c r="M23" s="335">
        <f ca="1">Table6[[#This Row],[Sum(prev)]]*$B$15*($B$15+2)</f>
        <v>9.1225501676773426</v>
      </c>
      <c r="N23" s="333">
        <f>_xlfn.CHISQ.INV(1-$P$4,Table6[[#This Row],[Sl No]])</f>
        <v>12.591587243743977</v>
      </c>
    </row>
    <row r="24" spans="1:14" x14ac:dyDescent="0.3">
      <c r="A24" s="371">
        <v>7</v>
      </c>
      <c r="B24" s="353" t="s">
        <v>178</v>
      </c>
      <c r="C24" s="40"/>
      <c r="D24" s="40" cm="1">
        <f t="array" aca="1" ref="D24" ca="1">SUMPRODUCT(OFFSET($G$2:$G$13,Table6[[#This Row],[Sl No]],0,$B$15-1),OFFSET($G$2:$G$13,0,0,$B$15-1))/SUM($G$2:$G$13^2)</f>
        <v>-0.23943828601883974</v>
      </c>
      <c r="E24" s="40" cm="1">
        <f t="array" aca="1" ref="E24" ca="1">SQRT((1+2*SUM(($D$18:D23^2)))/$B$15)</f>
        <v>0.42119012465455213</v>
      </c>
      <c r="F24" s="40">
        <f ca="1">Table6[[#This Row],[Sum Error]]*$P$6*-1</f>
        <v>-0.92703321394181659</v>
      </c>
      <c r="G24" s="40">
        <f ca="1">Table6[[#This Row],[Sum Error]]*$P$6*1</f>
        <v>0.92703321394181659</v>
      </c>
      <c r="H24" s="40" t="str">
        <f ca="1">IF(Table6[[#This Row],[Sum Error]]&gt;Table6[[#This Row],[LowerLimit]],IF(Table6[[#This Row],[Sum Error]]&lt;Table6[[#This Row],[UpperLimit]],"YES","NO"),"NO")</f>
        <v>YES</v>
      </c>
      <c r="I24" s="40">
        <f ca="1">Table6[[#This Row],[ACF Coeff2]]/Table6[[#This Row],[Sum Error]]</f>
        <v>-0.56848029429754565</v>
      </c>
      <c r="J24" s="335" t="str">
        <f ca="1">IF(ABS(Table6[[#This Row],[T-statistic]])&gt;$P$6,"Reject","Fail to Reject")</f>
        <v>Fail to Reject</v>
      </c>
      <c r="K24" s="335">
        <f ca="1">(Table6[[#This Row],[ACF Coeff2]]^2)/($B$15-Table6[[#This Row],[Sl No]])</f>
        <v>1.146613856232794E-2</v>
      </c>
      <c r="L24" s="335">
        <f ca="1">SUM($K$18:K24)</f>
        <v>6.576703241755022E-2</v>
      </c>
      <c r="M24" s="335">
        <f ca="1">Table6[[#This Row],[Sum(prev)]]*$B$15*($B$15+2)</f>
        <v>11.048861446148436</v>
      </c>
      <c r="N24" s="333">
        <f>_xlfn.CHISQ.INV(1-$P$4,Table6[[#This Row],[Sl No]])</f>
        <v>14.067140449340165</v>
      </c>
    </row>
    <row r="25" spans="1:14" x14ac:dyDescent="0.3">
      <c r="A25" s="372">
        <v>8</v>
      </c>
      <c r="B25" s="354" t="s">
        <v>189</v>
      </c>
      <c r="C25" s="335"/>
      <c r="D25" s="335" cm="1">
        <f t="array" aca="1" ref="D25" ca="1">SUMPRODUCT(OFFSET($G$2:$G$13,Table6[[#This Row],[Sl No]],0,$B$15-1),OFFSET($G$2:$G$13,0,0,$B$15-1))/SUM($G$2:$G$13^2)</f>
        <v>-0.31223245717377862</v>
      </c>
      <c r="E25" s="40" cm="1">
        <f t="array" aca="1" ref="E25" ca="1">SQRT((1+2*SUM(($D$18:D24^2)))/$B$15)</f>
        <v>0.43238436208438868</v>
      </c>
      <c r="F25" s="40">
        <f ca="1">Table6[[#This Row],[Sum Error]]*$P$6*-1</f>
        <v>-0.95167156440342915</v>
      </c>
      <c r="G25" s="40">
        <f ca="1">Table6[[#This Row],[Sum Error]]*$P$6*1</f>
        <v>0.95167156440342915</v>
      </c>
      <c r="H25" s="40" t="str">
        <f ca="1">IF(Table6[[#This Row],[Sum Error]]&gt;Table6[[#This Row],[LowerLimit]],IF(Table6[[#This Row],[Sum Error]]&lt;Table6[[#This Row],[UpperLimit]],"YES","NO"),"NO")</f>
        <v>YES</v>
      </c>
      <c r="I25" s="40">
        <f ca="1">Table6[[#This Row],[ACF Coeff2]]/Table6[[#This Row],[Sum Error]]</f>
        <v>-0.72211782976748828</v>
      </c>
      <c r="J25" s="335" t="str">
        <f ca="1">IF(ABS(Table6[[#This Row],[T-statistic]])&gt;$P$6,"Reject","Fail to Reject")</f>
        <v>Fail to Reject</v>
      </c>
      <c r="K25" s="335">
        <f ca="1">(Table6[[#This Row],[ACF Coeff2]]^2)/($B$15-Table6[[#This Row],[Sl No]])</f>
        <v>2.4372276828193876E-2</v>
      </c>
      <c r="L25" s="335">
        <f ca="1">SUM($K$18:K25)</f>
        <v>9.0139309245744093E-2</v>
      </c>
      <c r="M25" s="335">
        <f ca="1">Table6[[#This Row],[Sum(prev)]]*$B$15*($B$15+2)</f>
        <v>15.143403953285008</v>
      </c>
      <c r="N25" s="333">
        <f>_xlfn.CHISQ.INV(1-$P$4,Table6[[#This Row],[Sl No]])</f>
        <v>15.507313055865449</v>
      </c>
    </row>
    <row r="26" spans="1:14" x14ac:dyDescent="0.3">
      <c r="A26" s="371">
        <v>9</v>
      </c>
      <c r="B26" s="353" t="s">
        <v>190</v>
      </c>
      <c r="C26" s="335"/>
      <c r="D26" s="335" cm="1">
        <f t="array" aca="1" ref="D26" ca="1">SUMPRODUCT(OFFSET($G$2:$G$13,Table6[[#This Row],[Sl No]],0,$B$15-1),OFFSET($G$2:$G$13,0,0,$B$15-1))/SUM($G$2:$G$13^2)</f>
        <v>-0.44724695004066933</v>
      </c>
      <c r="E26" s="40" cm="1">
        <f t="array" aca="1" ref="E26" ca="1">SQRT((1+2*SUM(($D$18:D25^2)))/$B$15)</f>
        <v>0.45078201065177059</v>
      </c>
      <c r="F26" s="40">
        <f ca="1">Table6[[#This Row],[Sum Error]]*$P$6*-1</f>
        <v>-0.99216451588081789</v>
      </c>
      <c r="G26" s="40">
        <f ca="1">Table6[[#This Row],[Sum Error]]*$P$6*1</f>
        <v>0.99216451588081789</v>
      </c>
      <c r="H26" s="40" t="str">
        <f ca="1">IF(Table6[[#This Row],[Sum Error]]&gt;Table6[[#This Row],[LowerLimit]],IF(Table6[[#This Row],[Sum Error]]&lt;Table6[[#This Row],[UpperLimit]],"YES","NO"),"NO")</f>
        <v>YES</v>
      </c>
      <c r="I26" s="40">
        <f ca="1">Table6[[#This Row],[ACF Coeff2]]/Table6[[#This Row],[Sum Error]]</f>
        <v>-0.99215793770033101</v>
      </c>
      <c r="J26" s="335" t="str">
        <f ca="1">IF(ABS(Table6[[#This Row],[T-statistic]])&gt;$P$6,"Reject","Fail to Reject")</f>
        <v>Fail to Reject</v>
      </c>
      <c r="K26" s="335">
        <f ca="1">(Table6[[#This Row],[ACF Coeff2]]^2)/($B$15-Table6[[#This Row],[Sl No]])</f>
        <v>6.667661144022699E-2</v>
      </c>
      <c r="L26" s="335">
        <f ca="1">SUM($K$18:K26)</f>
        <v>0.15681592068597108</v>
      </c>
      <c r="M26" s="335">
        <f ca="1">Table6[[#This Row],[Sum(prev)]]*$B$15*($B$15+2)</f>
        <v>26.345074675243144</v>
      </c>
      <c r="N26" s="333">
        <f>_xlfn.CHISQ.INV(1-$P$4,Table6[[#This Row],[Sl No]])</f>
        <v>16.918977604620448</v>
      </c>
    </row>
    <row r="27" spans="1:14" x14ac:dyDescent="0.3">
      <c r="A27" s="373">
        <v>10</v>
      </c>
      <c r="B27" s="374" t="s">
        <v>191</v>
      </c>
      <c r="C27" s="335"/>
      <c r="D27" s="335" cm="1">
        <f t="array" aca="1" ref="D27" ca="1">SUMPRODUCT(OFFSET($G$2:$G$13,Table6[[#This Row],[Sl No]],0,$B$15-1),OFFSET($G$2:$G$13,0,0,$B$15-1))/SUM($G$2:$G$13^2)</f>
        <v>-0.23037338557810491</v>
      </c>
      <c r="E27" s="40" cm="1">
        <f t="array" aca="1" ref="E27" ca="1">SQRT((1+2*SUM(($D$18:D26^2)))/$B$15)</f>
        <v>0.48635658404854204</v>
      </c>
      <c r="F27" s="40">
        <f ca="1">Table6[[#This Row],[Sum Error]]*$P$6*-1</f>
        <v>-1.0704636240037027</v>
      </c>
      <c r="G27" s="40">
        <f ca="1">Table6[[#This Row],[Sum Error]]*$P$6*1</f>
        <v>1.0704636240037027</v>
      </c>
      <c r="H27" s="40" t="str">
        <f ca="1">IF(Table6[[#This Row],[Sum Error]]&gt;Table6[[#This Row],[LowerLimit]],IF(Table6[[#This Row],[Sum Error]]&lt;Table6[[#This Row],[UpperLimit]],"YES","NO"),"NO")</f>
        <v>YES</v>
      </c>
      <c r="I27" s="40">
        <f ca="1">Table6[[#This Row],[ACF Coeff2]]/Table6[[#This Row],[Sum Error]]</f>
        <v>-0.47367177320891768</v>
      </c>
      <c r="J27" s="335" t="str">
        <f ca="1">IF(ABS(Table6[[#This Row],[T-statistic]])&gt;$P$6,"Reject","Fail to Reject")</f>
        <v>Fail to Reject</v>
      </c>
      <c r="K27" s="335">
        <f ca="1">(Table6[[#This Row],[ACF Coeff2]]^2)/($B$15-Table6[[#This Row],[Sl No]])</f>
        <v>2.6535948391359098E-2</v>
      </c>
      <c r="L27" s="335">
        <f ca="1">SUM($K$18:K27)</f>
        <v>0.18335186907733017</v>
      </c>
      <c r="M27" s="335">
        <f ca="1">Table6[[#This Row],[Sum(prev)]]*$B$15*($B$15+2)</f>
        <v>30.803114004991471</v>
      </c>
      <c r="N27" s="333">
        <f>_xlfn.CHISQ.INV(1-$P$4,Table6[[#This Row],[Sl No]])</f>
        <v>18.307038053275139</v>
      </c>
    </row>
  </sheetData>
  <phoneticPr fontId="19" type="noConversion"/>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783B-D837-4DCB-9692-BC23C12F77BF}">
  <dimension ref="A1:Q99"/>
  <sheetViews>
    <sheetView topLeftCell="A31" zoomScale="70" zoomScaleNormal="70" workbookViewId="0">
      <selection activeCell="O14" sqref="O14:P15"/>
    </sheetView>
  </sheetViews>
  <sheetFormatPr defaultColWidth="8.88671875" defaultRowHeight="14.4" x14ac:dyDescent="0.3"/>
  <cols>
    <col min="1" max="3" width="12.6640625" style="30" bestFit="1" customWidth="1"/>
    <col min="4" max="5" width="15.33203125" style="30" customWidth="1"/>
    <col min="6" max="6" width="30.5546875" style="30" customWidth="1"/>
    <col min="7" max="7" width="15.33203125" style="30" customWidth="1"/>
    <col min="8" max="8" width="17.88671875" style="30" bestFit="1" customWidth="1"/>
    <col min="9" max="9" width="28" style="30" customWidth="1"/>
    <col min="10" max="10" width="12.6640625" style="30" bestFit="1" customWidth="1"/>
    <col min="11" max="11" width="25.5546875" style="30" customWidth="1"/>
    <col min="12" max="12" width="12.6640625" style="30" bestFit="1" customWidth="1"/>
    <col min="13" max="15" width="13.6640625" style="30" bestFit="1" customWidth="1"/>
    <col min="16" max="16" width="19.33203125" style="30" customWidth="1"/>
    <col min="17" max="17" width="14" style="30" customWidth="1"/>
    <col min="18" max="18" width="10.88671875" style="30" bestFit="1" customWidth="1"/>
    <col min="19" max="19" width="15.6640625" style="30" bestFit="1" customWidth="1"/>
    <col min="20" max="16384" width="8.88671875" style="30"/>
  </cols>
  <sheetData>
    <row r="1" spans="1:17" x14ac:dyDescent="0.3">
      <c r="A1" s="30" t="s">
        <v>32</v>
      </c>
      <c r="B1" s="30" t="s">
        <v>20</v>
      </c>
      <c r="C1" s="30" t="s">
        <v>21</v>
      </c>
      <c r="D1" s="30" t="s">
        <v>22</v>
      </c>
      <c r="E1" s="30" t="s">
        <v>86</v>
      </c>
      <c r="F1" s="30" t="s">
        <v>87</v>
      </c>
      <c r="G1" s="30" t="s">
        <v>88</v>
      </c>
      <c r="H1" s="30" t="s">
        <v>23</v>
      </c>
      <c r="I1" s="30" t="s">
        <v>24</v>
      </c>
      <c r="J1" s="30" t="s">
        <v>25</v>
      </c>
      <c r="K1" s="30" t="s">
        <v>26</v>
      </c>
      <c r="L1" s="30" t="s">
        <v>27</v>
      </c>
      <c r="M1" s="30" t="s">
        <v>28</v>
      </c>
      <c r="N1" s="30" t="s">
        <v>29</v>
      </c>
      <c r="O1" s="30" t="s">
        <v>30</v>
      </c>
      <c r="P1" s="30" t="s">
        <v>31</v>
      </c>
    </row>
    <row r="2" spans="1:17" x14ac:dyDescent="0.3">
      <c r="A2" s="30">
        <v>1996</v>
      </c>
      <c r="B2" s="30">
        <v>4964</v>
      </c>
      <c r="C2" s="30">
        <v>4968</v>
      </c>
      <c r="D2" s="30">
        <v>5601</v>
      </c>
      <c r="H2" s="30">
        <v>5454</v>
      </c>
      <c r="I2" s="30">
        <v>5721</v>
      </c>
      <c r="J2" s="30">
        <v>5690</v>
      </c>
      <c r="K2" s="30">
        <v>5804</v>
      </c>
      <c r="L2" s="30">
        <v>6040</v>
      </c>
      <c r="M2" s="30">
        <v>5843</v>
      </c>
      <c r="N2" s="30">
        <v>6087</v>
      </c>
      <c r="O2" s="30">
        <v>6469</v>
      </c>
      <c r="P2" s="30">
        <v>7002</v>
      </c>
    </row>
    <row r="3" spans="1:17" x14ac:dyDescent="0.3">
      <c r="A3" s="30">
        <v>1997</v>
      </c>
      <c r="B3" s="30">
        <v>5416</v>
      </c>
      <c r="C3" s="30">
        <v>5393</v>
      </c>
      <c r="D3" s="30">
        <v>5907</v>
      </c>
      <c r="H3" s="30">
        <v>5768</v>
      </c>
      <c r="I3" s="30">
        <v>6107</v>
      </c>
      <c r="J3" s="30">
        <v>6016</v>
      </c>
      <c r="K3" s="30">
        <v>6131</v>
      </c>
      <c r="L3" s="30">
        <v>6499</v>
      </c>
      <c r="M3" s="30">
        <v>6249</v>
      </c>
      <c r="N3" s="30">
        <v>6472</v>
      </c>
      <c r="O3" s="30">
        <v>6946</v>
      </c>
      <c r="P3" s="30">
        <v>7615</v>
      </c>
    </row>
    <row r="4" spans="1:17" x14ac:dyDescent="0.3">
      <c r="A4" s="30">
        <v>1998</v>
      </c>
      <c r="B4" s="30">
        <v>5876</v>
      </c>
      <c r="C4" s="30">
        <v>5818</v>
      </c>
      <c r="D4" s="30">
        <v>6342</v>
      </c>
      <c r="H4" s="30">
        <v>6143</v>
      </c>
      <c r="I4" s="30">
        <v>6442</v>
      </c>
      <c r="J4" s="30">
        <v>6407</v>
      </c>
      <c r="K4" s="30">
        <v>6545</v>
      </c>
      <c r="L4" s="30">
        <v>6758</v>
      </c>
      <c r="M4" s="30">
        <v>6485</v>
      </c>
      <c r="N4" s="30">
        <v>6805</v>
      </c>
      <c r="O4" s="30">
        <v>7361</v>
      </c>
      <c r="P4" s="30">
        <v>8079</v>
      </c>
    </row>
    <row r="5" spans="1:17" x14ac:dyDescent="0.3">
      <c r="A5" s="30">
        <v>1999</v>
      </c>
      <c r="B5" s="30">
        <v>6061</v>
      </c>
      <c r="C5" s="30">
        <v>6187</v>
      </c>
      <c r="D5" s="30">
        <v>6792</v>
      </c>
      <c r="H5" s="30">
        <v>6587</v>
      </c>
      <c r="I5" s="30">
        <v>6918</v>
      </c>
      <c r="J5" s="30">
        <v>6920</v>
      </c>
      <c r="K5" s="30">
        <v>7030</v>
      </c>
      <c r="L5" s="30">
        <v>7491</v>
      </c>
      <c r="M5" s="30">
        <v>7305</v>
      </c>
      <c r="N5" s="30">
        <v>7571</v>
      </c>
      <c r="O5" s="30">
        <v>8013</v>
      </c>
      <c r="P5" s="30">
        <v>8727</v>
      </c>
    </row>
    <row r="6" spans="1:17" x14ac:dyDescent="0.3">
      <c r="A6" s="30">
        <v>2000</v>
      </c>
      <c r="B6" s="30">
        <v>6776</v>
      </c>
      <c r="C6" s="30">
        <v>6847</v>
      </c>
      <c r="D6" s="30">
        <v>7531</v>
      </c>
      <c r="H6" s="30">
        <v>7333</v>
      </c>
      <c r="I6" s="30">
        <v>7685</v>
      </c>
      <c r="J6" s="30">
        <v>7518</v>
      </c>
      <c r="K6" s="30">
        <v>7672</v>
      </c>
      <c r="L6" s="30">
        <v>7992</v>
      </c>
      <c r="M6" s="30">
        <v>7645</v>
      </c>
      <c r="N6" s="30">
        <v>7923</v>
      </c>
      <c r="O6" s="30">
        <v>8297</v>
      </c>
      <c r="P6" s="30">
        <v>8537</v>
      </c>
    </row>
    <row r="7" spans="1:17" x14ac:dyDescent="0.3">
      <c r="A7" s="30">
        <v>2001</v>
      </c>
      <c r="B7" s="30">
        <v>7005</v>
      </c>
      <c r="C7" s="30">
        <v>6855</v>
      </c>
      <c r="D7" s="30">
        <v>7420</v>
      </c>
      <c r="H7" s="30">
        <v>7183</v>
      </c>
      <c r="I7" s="30">
        <v>7554</v>
      </c>
      <c r="J7" s="30">
        <v>7475</v>
      </c>
      <c r="K7" s="30">
        <v>7687</v>
      </c>
      <c r="L7" s="30">
        <v>7922</v>
      </c>
      <c r="M7" s="30">
        <v>7426</v>
      </c>
      <c r="N7" s="30">
        <v>7736</v>
      </c>
      <c r="O7" s="30">
        <v>8483</v>
      </c>
      <c r="P7" s="30">
        <v>9329</v>
      </c>
    </row>
    <row r="8" spans="1:17" x14ac:dyDescent="0.3">
      <c r="A8" s="30">
        <v>2002</v>
      </c>
      <c r="B8" s="30">
        <v>7120</v>
      </c>
      <c r="C8" s="30">
        <v>7124</v>
      </c>
      <c r="D8" s="30">
        <v>7817</v>
      </c>
      <c r="H8" s="30">
        <v>7538</v>
      </c>
      <c r="I8" s="30">
        <v>7921</v>
      </c>
      <c r="J8" s="30">
        <v>7757</v>
      </c>
      <c r="K8" s="30">
        <v>7816</v>
      </c>
      <c r="L8" s="30">
        <v>8208</v>
      </c>
      <c r="M8" s="30">
        <v>7828</v>
      </c>
    </row>
    <row r="9" spans="1:17" ht="14.25" customHeight="1" x14ac:dyDescent="0.3"/>
    <row r="10" spans="1:17" ht="47.25" customHeight="1" x14ac:dyDescent="0.3">
      <c r="A10" s="280" t="s">
        <v>42</v>
      </c>
      <c r="B10" s="280"/>
      <c r="C10" s="280"/>
      <c r="D10" s="280"/>
      <c r="E10" s="280"/>
      <c r="F10" s="280"/>
      <c r="G10" s="280"/>
      <c r="H10" s="280"/>
      <c r="I10" s="280"/>
      <c r="J10" s="280"/>
      <c r="K10" s="280"/>
      <c r="L10" s="280"/>
      <c r="M10" s="280"/>
      <c r="N10" s="280"/>
      <c r="O10" s="280"/>
      <c r="P10" s="280"/>
    </row>
    <row r="11" spans="1:17" ht="78.75" customHeight="1" x14ac:dyDescent="0.3">
      <c r="A11" s="280"/>
      <c r="B11" s="280"/>
      <c r="C11" s="280"/>
      <c r="D11" s="280"/>
      <c r="E11" s="280"/>
      <c r="F11" s="280"/>
      <c r="G11" s="280"/>
      <c r="H11" s="280"/>
      <c r="I11" s="280"/>
      <c r="J11" s="280"/>
      <c r="K11" s="280"/>
      <c r="L11" s="280"/>
      <c r="M11" s="280"/>
      <c r="N11" s="280"/>
      <c r="O11" s="280"/>
      <c r="P11" s="280"/>
    </row>
    <row r="12" spans="1:17" ht="81.75" customHeight="1" x14ac:dyDescent="0.3">
      <c r="A12" s="280"/>
      <c r="B12" s="280"/>
      <c r="C12" s="280"/>
      <c r="D12" s="280"/>
      <c r="E12" s="280"/>
      <c r="F12" s="280"/>
      <c r="G12" s="280"/>
      <c r="H12" s="280"/>
      <c r="I12" s="280"/>
      <c r="J12" s="280"/>
      <c r="K12" s="280"/>
      <c r="L12" s="280"/>
      <c r="M12" s="280"/>
      <c r="N12" s="280"/>
      <c r="O12" s="280"/>
      <c r="P12" s="280"/>
    </row>
    <row r="13" spans="1:17" ht="15" thickBot="1" x14ac:dyDescent="0.35"/>
    <row r="14" spans="1:17" ht="16.8" thickBot="1" x14ac:dyDescent="0.35">
      <c r="A14" s="30" t="s">
        <v>89</v>
      </c>
      <c r="B14" s="30" t="s">
        <v>32</v>
      </c>
      <c r="C14" s="30" t="s">
        <v>33</v>
      </c>
      <c r="D14" s="30" t="s">
        <v>34</v>
      </c>
      <c r="E14" s="30" t="s">
        <v>85</v>
      </c>
      <c r="F14" s="30" t="s">
        <v>84</v>
      </c>
      <c r="G14" s="30" t="s">
        <v>83</v>
      </c>
      <c r="H14" s="30" t="s">
        <v>61</v>
      </c>
      <c r="I14" s="30" t="s">
        <v>82</v>
      </c>
      <c r="J14" s="132" t="s">
        <v>16</v>
      </c>
      <c r="K14" s="131">
        <f>G96/81</f>
        <v>139.22686898165244</v>
      </c>
      <c r="O14" s="123" t="s">
        <v>81</v>
      </c>
      <c r="P14" s="130" t="s">
        <v>80</v>
      </c>
      <c r="Q14" s="122" t="s">
        <v>79</v>
      </c>
    </row>
    <row r="15" spans="1:17" ht="15" thickBot="1" x14ac:dyDescent="0.35">
      <c r="A15" s="30">
        <v>1</v>
      </c>
      <c r="B15" s="30">
        <v>1996</v>
      </c>
      <c r="C15" s="117" t="s">
        <v>20</v>
      </c>
      <c r="D15" s="30">
        <v>4964</v>
      </c>
      <c r="E15" s="30">
        <f>P$15+($O$15*Table43[[#This Row],[Index]])</f>
        <v>5638.1285757302012</v>
      </c>
      <c r="F15" s="116">
        <f>VLOOKUP(Table43[[#This Row],[Mon/Yr]],sindex,2,FALSE)*Table43[[#This Row],[Trend Sales]]</f>
        <v>5018.9917351855593</v>
      </c>
      <c r="G15" s="116">
        <f>ABS(Table43[[#This Row],[Sales]]-Table43[[#This Row],[Seasonal Forecast with Trend]])</f>
        <v>54.991735185559264</v>
      </c>
      <c r="H15" s="116">
        <f>Table43[[#This Row],[Abs Error]]^2</f>
        <v>3024.0909387186766</v>
      </c>
      <c r="I15" s="116">
        <f>ABS(Table43[[#This Row],[Sales]]-Table43[[#This Row],[Seasonal Forecast with Trend]])/Table43[[#This Row],[Sales]]</f>
        <v>1.1078109424971649E-2</v>
      </c>
      <c r="J15" s="129" t="s">
        <v>15</v>
      </c>
      <c r="K15" s="128">
        <f>H96/81</f>
        <v>36329.879110636313</v>
      </c>
      <c r="O15" s="119" cm="1">
        <f t="array" ref="O15:P15">LINEST(D15:D95)</f>
        <v>32.437217705510399</v>
      </c>
      <c r="P15" s="127">
        <v>5605.691358024691</v>
      </c>
      <c r="Q15" s="126">
        <f>AVERAGE(D15:D95)</f>
        <v>6935.6172839506171</v>
      </c>
    </row>
    <row r="16" spans="1:17" ht="15" thickBot="1" x14ac:dyDescent="0.35">
      <c r="A16" s="30">
        <v>2</v>
      </c>
      <c r="C16" s="117" t="s">
        <v>21</v>
      </c>
      <c r="D16" s="30">
        <v>4968</v>
      </c>
      <c r="E16" s="30">
        <f>P$15+($O$15*Table43[[#This Row],[Index]])</f>
        <v>5670.5657934357114</v>
      </c>
      <c r="F16" s="116">
        <f>VLOOKUP(Table43[[#This Row],[Mon/Yr]],sindex,2,FALSE)*Table43[[#This Row],[Trend Sales]]</f>
        <v>5044.8301390735642</v>
      </c>
      <c r="G16" s="116">
        <f>ABS(Table43[[#This Row],[Sales]]-Table43[[#This Row],[Seasonal Forecast with Trend]])</f>
        <v>76.830139073564169</v>
      </c>
      <c r="H16" s="116">
        <f>Table43[[#This Row],[Abs Error]]^2</f>
        <v>5902.870270063212</v>
      </c>
      <c r="I16" s="116">
        <f>ABS(Table43[[#This Row],[Sales]]-Table43[[#This Row],[Seasonal Forecast with Trend]])/Table43[[#This Row],[Sales]]</f>
        <v>1.5465003839284253E-2</v>
      </c>
      <c r="J16" s="125" t="s">
        <v>17</v>
      </c>
      <c r="K16" s="124">
        <f>SUM(I15:I95)/81</f>
        <v>1.912958966592198E-2</v>
      </c>
    </row>
    <row r="17" spans="1:16" ht="15" thickBot="1" x14ac:dyDescent="0.35">
      <c r="A17" s="30">
        <v>3</v>
      </c>
      <c r="C17" s="117" t="s">
        <v>22</v>
      </c>
      <c r="D17" s="30">
        <v>5601</v>
      </c>
      <c r="E17" s="30">
        <f>P$15+($O$15*Table43[[#This Row],[Index]])</f>
        <v>5703.0030111412225</v>
      </c>
      <c r="F17" s="116">
        <f>VLOOKUP(Table43[[#This Row],[Mon/Yr]],sindex,2,FALSE)*Table43[[#This Row],[Trend Sales]]</f>
        <v>5569.1689864614291</v>
      </c>
      <c r="G17" s="116">
        <f>ABS(Table43[[#This Row],[Sales]]-Table43[[#This Row],[Seasonal Forecast with Trend]])</f>
        <v>31.831013538570915</v>
      </c>
      <c r="H17" s="116">
        <f>Table43[[#This Row],[Abs Error]]^2</f>
        <v>1013.2134228926849</v>
      </c>
      <c r="I17" s="116">
        <f>ABS(Table43[[#This Row],[Sales]]-Table43[[#This Row],[Seasonal Forecast with Trend]])/Table43[[#This Row],[Sales]]</f>
        <v>5.6830947221158572E-3</v>
      </c>
    </row>
    <row r="18" spans="1:16" ht="15" thickBot="1" x14ac:dyDescent="0.35">
      <c r="A18" s="30">
        <v>4</v>
      </c>
      <c r="C18" s="117" t="s">
        <v>23</v>
      </c>
      <c r="D18" s="30">
        <v>5454</v>
      </c>
      <c r="E18" s="30">
        <f>P$15+($O$15*Table43[[#This Row],[Index]])</f>
        <v>5735.4402288467327</v>
      </c>
      <c r="F18" s="116">
        <f>VLOOKUP(Table43[[#This Row],[Mon/Yr]],sindex,2,FALSE)*Table43[[#This Row],[Trend Sales]]</f>
        <v>5434.9815363107</v>
      </c>
      <c r="G18" s="116">
        <f>ABS(Table43[[#This Row],[Sales]]-Table43[[#This Row],[Seasonal Forecast with Trend]])</f>
        <v>19.018463689300006</v>
      </c>
      <c r="H18" s="116">
        <f>Table43[[#This Row],[Abs Error]]^2</f>
        <v>361.70196110122282</v>
      </c>
      <c r="I18" s="116">
        <f>ABS(Table43[[#This Row],[Sales]]-Table43[[#This Row],[Seasonal Forecast with Trend]])/Table43[[#This Row],[Sales]]</f>
        <v>3.4870670497433088E-3</v>
      </c>
      <c r="O18" s="123" t="s">
        <v>78</v>
      </c>
      <c r="P18" s="122" t="s">
        <v>77</v>
      </c>
    </row>
    <row r="19" spans="1:16" x14ac:dyDescent="0.3">
      <c r="A19" s="30">
        <v>5</v>
      </c>
      <c r="C19" s="117" t="s">
        <v>24</v>
      </c>
      <c r="D19" s="30">
        <v>5721</v>
      </c>
      <c r="E19" s="30">
        <f>P$15+($O$15*Table43[[#This Row],[Index]])</f>
        <v>5767.8774465522429</v>
      </c>
      <c r="F19" s="116">
        <f>VLOOKUP(Table43[[#This Row],[Mon/Yr]],sindex,2,FALSE)*Table43[[#This Row],[Trend Sales]]</f>
        <v>5743.9596087620039</v>
      </c>
      <c r="G19" s="116">
        <f>ABS(Table43[[#This Row],[Sales]]-Table43[[#This Row],[Seasonal Forecast with Trend]])</f>
        <v>22.959608762003882</v>
      </c>
      <c r="H19" s="116">
        <f>Table43[[#This Row],[Abs Error]]^2</f>
        <v>527.14363450428539</v>
      </c>
      <c r="I19" s="116">
        <f>ABS(Table43[[#This Row],[Sales]]-Table43[[#This Row],[Seasonal Forecast with Trend]])/Table43[[#This Row],[Sales]]</f>
        <v>4.0132160045453381E-3</v>
      </c>
      <c r="O19" s="121" t="s">
        <v>20</v>
      </c>
      <c r="P19" s="120">
        <f t="shared" ref="P19:P30" si="0">AVERAGEIF(month,O19,origsales)/AVERAGE(origsales)</f>
        <v>0.89018752725686878</v>
      </c>
    </row>
    <row r="20" spans="1:16" x14ac:dyDescent="0.3">
      <c r="A20" s="30">
        <v>6</v>
      </c>
      <c r="C20" s="117" t="s">
        <v>25</v>
      </c>
      <c r="D20" s="30">
        <v>5690</v>
      </c>
      <c r="E20" s="30">
        <f>P$15+($O$15*Table43[[#This Row],[Index]])</f>
        <v>5800.3146642577531</v>
      </c>
      <c r="F20" s="116">
        <f>VLOOKUP(Table43[[#This Row],[Mon/Yr]],sindex,2,FALSE)*Table43[[#This Row],[Trend Sales]]</f>
        <v>5708.7602867341175</v>
      </c>
      <c r="G20" s="116">
        <f>ABS(Table43[[#This Row],[Sales]]-Table43[[#This Row],[Seasonal Forecast with Trend]])</f>
        <v>18.760286734117471</v>
      </c>
      <c r="H20" s="116">
        <f>Table43[[#This Row],[Abs Error]]^2</f>
        <v>351.94835834630396</v>
      </c>
      <c r="I20" s="116">
        <f>ABS(Table43[[#This Row],[Sales]]-Table43[[#This Row],[Seasonal Forecast with Trend]])/Table43[[#This Row],[Sales]]</f>
        <v>3.2970626949239846E-3</v>
      </c>
      <c r="O20" s="121" t="s">
        <v>21</v>
      </c>
      <c r="P20" s="120">
        <f t="shared" si="0"/>
        <v>0.88965198938587342</v>
      </c>
    </row>
    <row r="21" spans="1:16" x14ac:dyDescent="0.3">
      <c r="A21" s="30">
        <v>7</v>
      </c>
      <c r="C21" s="117" t="s">
        <v>26</v>
      </c>
      <c r="D21" s="30">
        <v>5804</v>
      </c>
      <c r="E21" s="30">
        <f>P$15+($O$15*Table43[[#This Row],[Index]])</f>
        <v>5832.7518819632642</v>
      </c>
      <c r="F21" s="116">
        <f>VLOOKUP(Table43[[#This Row],[Mon/Yr]],sindex,2,FALSE)*Table43[[#This Row],[Trend Sales]]</f>
        <v>5849.0524603957292</v>
      </c>
      <c r="G21" s="116">
        <f>ABS(Table43[[#This Row],[Sales]]-Table43[[#This Row],[Seasonal Forecast with Trend]])</f>
        <v>45.052460395729213</v>
      </c>
      <c r="H21" s="116">
        <f>Table43[[#This Row],[Abs Error]]^2</f>
        <v>2029.7241877087492</v>
      </c>
      <c r="I21" s="116">
        <f>ABS(Table43[[#This Row],[Sales]]-Table43[[#This Row],[Seasonal Forecast with Trend]])/Table43[[#This Row],[Sales]]</f>
        <v>7.7623122666659571E-3</v>
      </c>
      <c r="O21" s="121" t="s">
        <v>22</v>
      </c>
      <c r="P21" s="120">
        <f t="shared" si="0"/>
        <v>0.97653271014966336</v>
      </c>
    </row>
    <row r="22" spans="1:16" x14ac:dyDescent="0.3">
      <c r="A22" s="30">
        <v>8</v>
      </c>
      <c r="C22" s="117" t="s">
        <v>27</v>
      </c>
      <c r="D22" s="30">
        <v>6040</v>
      </c>
      <c r="E22" s="30">
        <f>P$15+($O$15*Table43[[#This Row],[Index]])</f>
        <v>5865.1890996687744</v>
      </c>
      <c r="F22" s="116">
        <f>VLOOKUP(Table43[[#This Row],[Mon/Yr]],sindex,2,FALSE)*Table43[[#This Row],[Trend Sales]]</f>
        <v>6150.3800875004608</v>
      </c>
      <c r="G22" s="116">
        <f>ABS(Table43[[#This Row],[Sales]]-Table43[[#This Row],[Seasonal Forecast with Trend]])</f>
        <v>110.38008750046083</v>
      </c>
      <c r="H22" s="116">
        <f>Table43[[#This Row],[Abs Error]]^2</f>
        <v>12183.76371660939</v>
      </c>
      <c r="I22" s="116">
        <f>ABS(Table43[[#This Row],[Sales]]-Table43[[#This Row],[Seasonal Forecast with Trend]])/Table43[[#This Row],[Sales]]</f>
        <v>1.8274848923917356E-2</v>
      </c>
      <c r="O22" s="121" t="s">
        <v>23</v>
      </c>
      <c r="P22" s="120">
        <f t="shared" si="0"/>
        <v>0.9476136651159125</v>
      </c>
    </row>
    <row r="23" spans="1:16" x14ac:dyDescent="0.3">
      <c r="A23" s="30">
        <v>9</v>
      </c>
      <c r="C23" s="117" t="s">
        <v>28</v>
      </c>
      <c r="D23" s="30">
        <v>5843</v>
      </c>
      <c r="E23" s="30">
        <f>P$15+($O$15*Table43[[#This Row],[Index]])</f>
        <v>5897.6263173742846</v>
      </c>
      <c r="F23" s="116">
        <f>VLOOKUP(Table43[[#This Row],[Mon/Yr]],sindex,2,FALSE)*Table43[[#This Row],[Trend Sales]]</f>
        <v>5925.7699909128005</v>
      </c>
      <c r="G23" s="116">
        <f>ABS(Table43[[#This Row],[Sales]]-Table43[[#This Row],[Seasonal Forecast with Trend]])</f>
        <v>82.769990912800495</v>
      </c>
      <c r="H23" s="116">
        <f>Table43[[#This Row],[Abs Error]]^2</f>
        <v>6850.8713957050768</v>
      </c>
      <c r="I23" s="116">
        <f>ABS(Table43[[#This Row],[Sales]]-Table43[[#This Row],[Seasonal Forecast with Trend]])/Table43[[#This Row],[Sales]]</f>
        <v>1.416566676583955E-2</v>
      </c>
      <c r="O23" s="121" t="s">
        <v>24</v>
      </c>
      <c r="P23" s="120">
        <f t="shared" si="0"/>
        <v>0.99585326872634305</v>
      </c>
    </row>
    <row r="24" spans="1:16" x14ac:dyDescent="0.3">
      <c r="A24" s="30">
        <v>10</v>
      </c>
      <c r="C24" s="117" t="s">
        <v>29</v>
      </c>
      <c r="D24" s="30">
        <v>6087</v>
      </c>
      <c r="E24" s="30">
        <f>P$15+($O$15*Table43[[#This Row],[Index]])</f>
        <v>5930.0635350797947</v>
      </c>
      <c r="F24" s="116">
        <f>VLOOKUP(Table43[[#This Row],[Mon/Yr]],sindex,2,FALSE)*Table43[[#This Row],[Trend Sales]]</f>
        <v>6069.7583664178437</v>
      </c>
      <c r="G24" s="116">
        <f>ABS(Table43[[#This Row],[Sales]]-Table43[[#This Row],[Seasonal Forecast with Trend]])</f>
        <v>17.241633582156283</v>
      </c>
      <c r="H24" s="116">
        <f>Table43[[#This Row],[Abs Error]]^2</f>
        <v>297.27392858133931</v>
      </c>
      <c r="I24" s="116">
        <f>ABS(Table43[[#This Row],[Sales]]-Table43[[#This Row],[Seasonal Forecast with Trend]])/Table43[[#This Row],[Sales]]</f>
        <v>2.832533856112417E-3</v>
      </c>
      <c r="O24" s="121" t="s">
        <v>25</v>
      </c>
      <c r="P24" s="120">
        <f t="shared" si="0"/>
        <v>0.98421561883740472</v>
      </c>
    </row>
    <row r="25" spans="1:16" x14ac:dyDescent="0.3">
      <c r="A25" s="30">
        <v>11</v>
      </c>
      <c r="C25" s="117" t="s">
        <v>30</v>
      </c>
      <c r="D25" s="30">
        <v>6469</v>
      </c>
      <c r="E25" s="30">
        <f>P$15+($O$15*Table43[[#This Row],[Index]])</f>
        <v>5962.5007527853049</v>
      </c>
      <c r="F25" s="116">
        <f>VLOOKUP(Table43[[#This Row],[Mon/Yr]],sindex,2,FALSE)*Table43[[#This Row],[Trend Sales]]</f>
        <v>6529.2240925791775</v>
      </c>
      <c r="G25" s="116">
        <f>ABS(Table43[[#This Row],[Sales]]-Table43[[#This Row],[Seasonal Forecast with Trend]])</f>
        <v>60.224092579177523</v>
      </c>
      <c r="H25" s="116">
        <f>Table43[[#This Row],[Abs Error]]^2</f>
        <v>3626.9413269853453</v>
      </c>
      <c r="I25" s="116">
        <f>ABS(Table43[[#This Row],[Sales]]-Table43[[#This Row],[Seasonal Forecast with Trend]])/Table43[[#This Row],[Sales]]</f>
        <v>9.309644856883216E-3</v>
      </c>
      <c r="O25" s="121" t="s">
        <v>26</v>
      </c>
      <c r="P25" s="120">
        <f t="shared" si="0"/>
        <v>1.00279466343886</v>
      </c>
    </row>
    <row r="26" spans="1:16" x14ac:dyDescent="0.3">
      <c r="A26" s="30">
        <v>12</v>
      </c>
      <c r="C26" s="117" t="s">
        <v>31</v>
      </c>
      <c r="D26" s="30">
        <v>7002</v>
      </c>
      <c r="E26" s="30">
        <f>P$15+($O$15*Table43[[#This Row],[Index]])</f>
        <v>5994.937970490816</v>
      </c>
      <c r="F26" s="116">
        <f>VLOOKUP(Table43[[#This Row],[Mon/Yr]],sindex,2,FALSE)*Table43[[#This Row],[Trend Sales]]</f>
        <v>7100.6536628274962</v>
      </c>
      <c r="G26" s="116">
        <f>ABS(Table43[[#This Row],[Sales]]-Table43[[#This Row],[Seasonal Forecast with Trend]])</f>
        <v>98.653662827496191</v>
      </c>
      <c r="H26" s="116">
        <f>Table43[[#This Row],[Abs Error]]^2</f>
        <v>9732.5451892813035</v>
      </c>
      <c r="I26" s="116">
        <f>ABS(Table43[[#This Row],[Sales]]-Table43[[#This Row],[Seasonal Forecast with Trend]])/Table43[[#This Row],[Sales]]</f>
        <v>1.4089354873964038E-2</v>
      </c>
      <c r="O26" s="121" t="s">
        <v>27</v>
      </c>
      <c r="P26" s="120">
        <f t="shared" si="0"/>
        <v>1.0486243466298115</v>
      </c>
    </row>
    <row r="27" spans="1:16" x14ac:dyDescent="0.3">
      <c r="A27" s="30">
        <v>13</v>
      </c>
      <c r="B27" s="30">
        <v>1997</v>
      </c>
      <c r="C27" s="117" t="s">
        <v>20</v>
      </c>
      <c r="D27" s="30">
        <v>5416</v>
      </c>
      <c r="E27" s="30">
        <f>P$15+($O$15*Table43[[#This Row],[Index]])</f>
        <v>6027.3751881963262</v>
      </c>
      <c r="F27" s="116">
        <f>VLOOKUP(Table43[[#This Row],[Mon/Yr]],sindex,2,FALSE)*Table43[[#This Row],[Trend Sales]]</f>
        <v>5365.4942146298918</v>
      </c>
      <c r="G27" s="116">
        <f>ABS(Table43[[#This Row],[Sales]]-Table43[[#This Row],[Seasonal Forecast with Trend]])</f>
        <v>50.505785370108242</v>
      </c>
      <c r="H27" s="116">
        <f>Table43[[#This Row],[Abs Error]]^2</f>
        <v>2550.8343558514398</v>
      </c>
      <c r="I27" s="116">
        <f>ABS(Table43[[#This Row],[Sales]]-Table43[[#This Row],[Seasonal Forecast with Trend]])/Table43[[#This Row],[Sales]]</f>
        <v>9.3252927197393365E-3</v>
      </c>
      <c r="O27" s="121" t="s">
        <v>28</v>
      </c>
      <c r="P27" s="120">
        <f t="shared" si="0"/>
        <v>1.0047720340394584</v>
      </c>
    </row>
    <row r="28" spans="1:16" x14ac:dyDescent="0.3">
      <c r="A28" s="30">
        <v>14</v>
      </c>
      <c r="C28" s="117" t="s">
        <v>21</v>
      </c>
      <c r="D28" s="30">
        <v>5393</v>
      </c>
      <c r="E28" s="30">
        <f>P$15+($O$15*Table43[[#This Row],[Index]])</f>
        <v>6059.8124059018364</v>
      </c>
      <c r="F28" s="116">
        <f>VLOOKUP(Table43[[#This Row],[Mon/Yr]],sindex,2,FALSE)*Table43[[#This Row],[Trend Sales]]</f>
        <v>5391.124162215765</v>
      </c>
      <c r="G28" s="116">
        <f>ABS(Table43[[#This Row],[Sales]]-Table43[[#This Row],[Seasonal Forecast with Trend]])</f>
        <v>1.8758377842350455</v>
      </c>
      <c r="H28" s="116">
        <f>Table43[[#This Row],[Abs Error]]^2</f>
        <v>3.5187673927638454</v>
      </c>
      <c r="I28" s="116">
        <f>ABS(Table43[[#This Row],[Sales]]-Table43[[#This Row],[Seasonal Forecast with Trend]])/Table43[[#This Row],[Sales]]</f>
        <v>3.4782825593084472E-4</v>
      </c>
      <c r="O28" s="121" t="s">
        <v>29</v>
      </c>
      <c r="P28" s="120">
        <f t="shared" si="0"/>
        <v>1.0235570547451427</v>
      </c>
    </row>
    <row r="29" spans="1:16" x14ac:dyDescent="0.3">
      <c r="A29" s="30">
        <v>15</v>
      </c>
      <c r="C29" s="117" t="s">
        <v>22</v>
      </c>
      <c r="D29" s="30">
        <v>5907</v>
      </c>
      <c r="E29" s="30">
        <f>P$15+($O$15*Table43[[#This Row],[Index]])</f>
        <v>6092.2496236073466</v>
      </c>
      <c r="F29" s="116">
        <f>VLOOKUP(Table43[[#This Row],[Mon/Yr]],sindex,2,FALSE)*Table43[[#This Row],[Trend Sales]]</f>
        <v>5949.281035849549</v>
      </c>
      <c r="G29" s="116">
        <f>ABS(Table43[[#This Row],[Sales]]-Table43[[#This Row],[Seasonal Forecast with Trend]])</f>
        <v>42.281035849548971</v>
      </c>
      <c r="H29" s="116">
        <f>Table43[[#This Row],[Abs Error]]^2</f>
        <v>1787.6859925108452</v>
      </c>
      <c r="I29" s="116">
        <f>ABS(Table43[[#This Row],[Sales]]-Table43[[#This Row],[Seasonal Forecast with Trend]])/Table43[[#This Row],[Sales]]</f>
        <v>7.1577849753764978E-3</v>
      </c>
      <c r="O29" s="121" t="s">
        <v>30</v>
      </c>
      <c r="P29" s="120">
        <f t="shared" si="0"/>
        <v>1.0950479275879563</v>
      </c>
    </row>
    <row r="30" spans="1:16" ht="15" thickBot="1" x14ac:dyDescent="0.35">
      <c r="A30" s="30">
        <v>16</v>
      </c>
      <c r="C30" s="117" t="s">
        <v>23</v>
      </c>
      <c r="D30" s="30">
        <v>5768</v>
      </c>
      <c r="E30" s="30">
        <f>P$15+($O$15*Table43[[#This Row],[Index]])</f>
        <v>6124.6868413128577</v>
      </c>
      <c r="F30" s="116">
        <f>VLOOKUP(Table43[[#This Row],[Mon/Yr]],sindex,2,FALSE)*Table43[[#This Row],[Trend Sales]]</f>
        <v>5803.8369453836785</v>
      </c>
      <c r="G30" s="116">
        <f>ABS(Table43[[#This Row],[Sales]]-Table43[[#This Row],[Seasonal Forecast with Trend]])</f>
        <v>35.83694538367854</v>
      </c>
      <c r="H30" s="116">
        <f>Table43[[#This Row],[Abs Error]]^2</f>
        <v>1284.2866544327585</v>
      </c>
      <c r="I30" s="116">
        <f>ABS(Table43[[#This Row],[Sales]]-Table43[[#This Row],[Seasonal Forecast with Trend]])/Table43[[#This Row],[Sales]]</f>
        <v>6.2130626532036302E-3</v>
      </c>
      <c r="O30" s="119" t="s">
        <v>31</v>
      </c>
      <c r="P30" s="118">
        <f t="shared" si="0"/>
        <v>1.18444155682334</v>
      </c>
    </row>
    <row r="31" spans="1:16" x14ac:dyDescent="0.3">
      <c r="A31" s="30">
        <v>17</v>
      </c>
      <c r="C31" s="117" t="s">
        <v>24</v>
      </c>
      <c r="D31" s="30">
        <v>6107</v>
      </c>
      <c r="E31" s="30">
        <f>P$15+($O$15*Table43[[#This Row],[Index]])</f>
        <v>6157.1240590183679</v>
      </c>
      <c r="F31" s="116">
        <f>VLOOKUP(Table43[[#This Row],[Mon/Yr]],sindex,2,FALSE)*Table43[[#This Row],[Trend Sales]]</f>
        <v>6131.5921201270512</v>
      </c>
      <c r="G31" s="116">
        <f>ABS(Table43[[#This Row],[Sales]]-Table43[[#This Row],[Seasonal Forecast with Trend]])</f>
        <v>24.592120127051203</v>
      </c>
      <c r="H31" s="116">
        <f>Table43[[#This Row],[Abs Error]]^2</f>
        <v>604.77237234331687</v>
      </c>
      <c r="I31" s="116">
        <f>ABS(Table43[[#This Row],[Sales]]-Table43[[#This Row],[Seasonal Forecast with Trend]])/Table43[[#This Row],[Sales]]</f>
        <v>4.0268740997300148E-3</v>
      </c>
    </row>
    <row r="32" spans="1:16" x14ac:dyDescent="0.3">
      <c r="A32" s="30">
        <v>18</v>
      </c>
      <c r="C32" s="117" t="s">
        <v>25</v>
      </c>
      <c r="D32" s="30">
        <v>6016</v>
      </c>
      <c r="E32" s="30">
        <f>P$15+($O$15*Table43[[#This Row],[Index]])</f>
        <v>6189.5612767238781</v>
      </c>
      <c r="F32" s="116">
        <f>VLOOKUP(Table43[[#This Row],[Mon/Yr]],sindex,2,FALSE)*Table43[[#This Row],[Trend Sales]]</f>
        <v>6091.8628823028284</v>
      </c>
      <c r="G32" s="116">
        <f>ABS(Table43[[#This Row],[Sales]]-Table43[[#This Row],[Seasonal Forecast with Trend]])</f>
        <v>75.862882302828439</v>
      </c>
      <c r="H32" s="116">
        <f>Table43[[#This Row],[Abs Error]]^2</f>
        <v>5755.1769112928005</v>
      </c>
      <c r="I32" s="116">
        <f>ABS(Table43[[#This Row],[Sales]]-Table43[[#This Row],[Seasonal Forecast with Trend]])/Table43[[#This Row],[Sales]]</f>
        <v>1.2610186552996748E-2</v>
      </c>
    </row>
    <row r="33" spans="1:9" x14ac:dyDescent="0.3">
      <c r="A33" s="30">
        <v>19</v>
      </c>
      <c r="C33" s="117" t="s">
        <v>26</v>
      </c>
      <c r="D33" s="30">
        <v>6131</v>
      </c>
      <c r="E33" s="30">
        <f>P$15+($O$15*Table43[[#This Row],[Index]])</f>
        <v>6221.9984944293883</v>
      </c>
      <c r="F33" s="116">
        <f>VLOOKUP(Table43[[#This Row],[Mon/Yr]],sindex,2,FALSE)*Table43[[#This Row],[Trend Sales]]</f>
        <v>6239.3868861384126</v>
      </c>
      <c r="G33" s="116">
        <f>ABS(Table43[[#This Row],[Sales]]-Table43[[#This Row],[Seasonal Forecast with Trend]])</f>
        <v>108.38688613841259</v>
      </c>
      <c r="H33" s="116">
        <f>Table43[[#This Row],[Abs Error]]^2</f>
        <v>11747.717086781216</v>
      </c>
      <c r="I33" s="116">
        <f>ABS(Table43[[#This Row],[Sales]]-Table43[[#This Row],[Seasonal Forecast with Trend]])/Table43[[#This Row],[Sales]]</f>
        <v>1.7678500430339684E-2</v>
      </c>
    </row>
    <row r="34" spans="1:9" x14ac:dyDescent="0.3">
      <c r="A34" s="30">
        <v>20</v>
      </c>
      <c r="C34" s="117" t="s">
        <v>27</v>
      </c>
      <c r="D34" s="30">
        <v>6499</v>
      </c>
      <c r="E34" s="30">
        <f>P$15+($O$15*Table43[[#This Row],[Index]])</f>
        <v>6254.4357121348985</v>
      </c>
      <c r="F34" s="116">
        <f>VLOOKUP(Table43[[#This Row],[Mon/Yr]],sindex,2,FALSE)*Table43[[#This Row],[Trend Sales]]</f>
        <v>6558.553562175618</v>
      </c>
      <c r="G34" s="116">
        <f>ABS(Table43[[#This Row],[Sales]]-Table43[[#This Row],[Seasonal Forecast with Trend]])</f>
        <v>59.553562175618026</v>
      </c>
      <c r="H34" s="116">
        <f>Table43[[#This Row],[Abs Error]]^2</f>
        <v>3546.6267678052022</v>
      </c>
      <c r="I34" s="116">
        <f>ABS(Table43[[#This Row],[Sales]]-Table43[[#This Row],[Seasonal Forecast with Trend]])/Table43[[#This Row],[Sales]]</f>
        <v>9.1634962572115751E-3</v>
      </c>
    </row>
    <row r="35" spans="1:9" x14ac:dyDescent="0.3">
      <c r="A35" s="30">
        <v>21</v>
      </c>
      <c r="C35" s="117" t="s">
        <v>28</v>
      </c>
      <c r="D35" s="30">
        <v>6249</v>
      </c>
      <c r="E35" s="30">
        <f>P$15+($O$15*Table43[[#This Row],[Index]])</f>
        <v>6286.8729298404096</v>
      </c>
      <c r="F35" s="116">
        <f>VLOOKUP(Table43[[#This Row],[Mon/Yr]],sindex,2,FALSE)*Table43[[#This Row],[Trend Sales]]</f>
        <v>6316.874101463357</v>
      </c>
      <c r="G35" s="116">
        <f>ABS(Table43[[#This Row],[Sales]]-Table43[[#This Row],[Seasonal Forecast with Trend]])</f>
        <v>67.874101463356965</v>
      </c>
      <c r="H35" s="116">
        <f>Table43[[#This Row],[Abs Error]]^2</f>
        <v>4606.8936494580757</v>
      </c>
      <c r="I35" s="116">
        <f>ABS(Table43[[#This Row],[Sales]]-Table43[[#This Row],[Seasonal Forecast with Trend]])/Table43[[#This Row],[Sales]]</f>
        <v>1.0861594089191386E-2</v>
      </c>
    </row>
    <row r="36" spans="1:9" x14ac:dyDescent="0.3">
      <c r="A36" s="30">
        <v>22</v>
      </c>
      <c r="C36" s="117" t="s">
        <v>29</v>
      </c>
      <c r="D36" s="30">
        <v>6472</v>
      </c>
      <c r="E36" s="30">
        <f>P$15+($O$15*Table43[[#This Row],[Index]])</f>
        <v>6319.3101475459198</v>
      </c>
      <c r="F36" s="116">
        <f>VLOOKUP(Table43[[#This Row],[Mon/Yr]],sindex,2,FALSE)*Table43[[#This Row],[Trend Sales]]</f>
        <v>6468.174482643195</v>
      </c>
      <c r="G36" s="116">
        <f>ABS(Table43[[#This Row],[Sales]]-Table43[[#This Row],[Seasonal Forecast with Trend]])</f>
        <v>3.8255173568049941</v>
      </c>
      <c r="H36" s="116">
        <f>Table43[[#This Row],[Abs Error]]^2</f>
        <v>14.634583047216267</v>
      </c>
      <c r="I36" s="116">
        <f>ABS(Table43[[#This Row],[Sales]]-Table43[[#This Row],[Seasonal Forecast with Trend]])/Table43[[#This Row],[Sales]]</f>
        <v>5.9108735426529572E-4</v>
      </c>
    </row>
    <row r="37" spans="1:9" x14ac:dyDescent="0.3">
      <c r="A37" s="30">
        <v>23</v>
      </c>
      <c r="C37" s="117" t="s">
        <v>30</v>
      </c>
      <c r="D37" s="30">
        <v>6946</v>
      </c>
      <c r="E37" s="30">
        <f>P$15+($O$15*Table43[[#This Row],[Index]])</f>
        <v>6351.74736525143</v>
      </c>
      <c r="F37" s="116">
        <f>VLOOKUP(Table43[[#This Row],[Mon/Yr]],sindex,2,FALSE)*Table43[[#This Row],[Trend Sales]]</f>
        <v>6955.4677888808401</v>
      </c>
      <c r="G37" s="116">
        <f>ABS(Table43[[#This Row],[Sales]]-Table43[[#This Row],[Seasonal Forecast with Trend]])</f>
        <v>9.4677888808400894</v>
      </c>
      <c r="H37" s="116">
        <f>Table43[[#This Row],[Abs Error]]^2</f>
        <v>89.63902629215923</v>
      </c>
      <c r="I37" s="116">
        <f>ABS(Table43[[#This Row],[Sales]]-Table43[[#This Row],[Seasonal Forecast with Trend]])/Table43[[#This Row],[Sales]]</f>
        <v>1.3630562742355441E-3</v>
      </c>
    </row>
    <row r="38" spans="1:9" x14ac:dyDescent="0.3">
      <c r="A38" s="30">
        <v>24</v>
      </c>
      <c r="C38" s="117" t="s">
        <v>31</v>
      </c>
      <c r="D38" s="30">
        <v>7615</v>
      </c>
      <c r="E38" s="30">
        <f>P$15+($O$15*Table43[[#This Row],[Index]])</f>
        <v>6384.1845829569411</v>
      </c>
      <c r="F38" s="116">
        <f>VLOOKUP(Table43[[#This Row],[Mon/Yr]],sindex,2,FALSE)*Table43[[#This Row],[Trend Sales]]</f>
        <v>7561.6935264850845</v>
      </c>
      <c r="G38" s="116">
        <f>ABS(Table43[[#This Row],[Sales]]-Table43[[#This Row],[Seasonal Forecast with Trend]])</f>
        <v>53.306473514915524</v>
      </c>
      <c r="H38" s="116">
        <f>Table43[[#This Row],[Abs Error]]^2</f>
        <v>2841.5801185963901</v>
      </c>
      <c r="I38" s="116">
        <f>ABS(Table43[[#This Row],[Sales]]-Table43[[#This Row],[Seasonal Forecast with Trend]])/Table43[[#This Row],[Sales]]</f>
        <v>7.0001935016304039E-3</v>
      </c>
    </row>
    <row r="39" spans="1:9" x14ac:dyDescent="0.3">
      <c r="A39" s="30">
        <v>25</v>
      </c>
      <c r="B39" s="30">
        <v>1998</v>
      </c>
      <c r="C39" s="117" t="s">
        <v>20</v>
      </c>
      <c r="D39" s="30">
        <v>5876</v>
      </c>
      <c r="E39" s="30">
        <f>P$15+($O$15*Table43[[#This Row],[Index]])</f>
        <v>6416.6218006624513</v>
      </c>
      <c r="F39" s="116">
        <f>VLOOKUP(Table43[[#This Row],[Mon/Yr]],sindex,2,FALSE)*Table43[[#This Row],[Trend Sales]]</f>
        <v>5711.9966940742243</v>
      </c>
      <c r="G39" s="116">
        <f>ABS(Table43[[#This Row],[Sales]]-Table43[[#This Row],[Seasonal Forecast with Trend]])</f>
        <v>164.00330592577575</v>
      </c>
      <c r="H39" s="116">
        <f>Table43[[#This Row],[Abs Error]]^2</f>
        <v>26897.084354583592</v>
      </c>
      <c r="I39" s="116">
        <f>ABS(Table43[[#This Row],[Sales]]-Table43[[#This Row],[Seasonal Forecast with Trend]])/Table43[[#This Row],[Sales]]</f>
        <v>2.7910705569396826E-2</v>
      </c>
    </row>
    <row r="40" spans="1:9" x14ac:dyDescent="0.3">
      <c r="A40" s="30">
        <v>26</v>
      </c>
      <c r="C40" s="117" t="s">
        <v>21</v>
      </c>
      <c r="D40" s="30">
        <v>5818</v>
      </c>
      <c r="E40" s="30">
        <f>P$15+($O$15*Table43[[#This Row],[Index]])</f>
        <v>6449.0590183679615</v>
      </c>
      <c r="F40" s="116">
        <f>VLOOKUP(Table43[[#This Row],[Mon/Yr]],sindex,2,FALSE)*Table43[[#This Row],[Trend Sales]]</f>
        <v>5737.4181853579648</v>
      </c>
      <c r="G40" s="116">
        <f>ABS(Table43[[#This Row],[Sales]]-Table43[[#This Row],[Seasonal Forecast with Trend]])</f>
        <v>80.58181464203517</v>
      </c>
      <c r="H40" s="116">
        <f>Table43[[#This Row],[Abs Error]]^2</f>
        <v>6493.4288510033139</v>
      </c>
      <c r="I40" s="116">
        <f>ABS(Table43[[#This Row],[Sales]]-Table43[[#This Row],[Seasonal Forecast with Trend]])/Table43[[#This Row],[Sales]]</f>
        <v>1.3850432217606595E-2</v>
      </c>
    </row>
    <row r="41" spans="1:9" x14ac:dyDescent="0.3">
      <c r="A41" s="30">
        <v>27</v>
      </c>
      <c r="C41" s="117" t="s">
        <v>22</v>
      </c>
      <c r="D41" s="30">
        <v>6342</v>
      </c>
      <c r="E41" s="30">
        <f>P$15+($O$15*Table43[[#This Row],[Index]])</f>
        <v>6481.4962360734717</v>
      </c>
      <c r="F41" s="116">
        <f>VLOOKUP(Table43[[#This Row],[Mon/Yr]],sindex,2,FALSE)*Table43[[#This Row],[Trend Sales]]</f>
        <v>6329.3930852376698</v>
      </c>
      <c r="G41" s="116">
        <f>ABS(Table43[[#This Row],[Sales]]-Table43[[#This Row],[Seasonal Forecast with Trend]])</f>
        <v>12.606914762330234</v>
      </c>
      <c r="H41" s="116">
        <f>Table43[[#This Row],[Abs Error]]^2</f>
        <v>158.93429982465997</v>
      </c>
      <c r="I41" s="116">
        <f>ABS(Table43[[#This Row],[Sales]]-Table43[[#This Row],[Seasonal Forecast with Trend]])/Table43[[#This Row],[Sales]]</f>
        <v>1.9878452794591982E-3</v>
      </c>
    </row>
    <row r="42" spans="1:9" x14ac:dyDescent="0.3">
      <c r="A42" s="30">
        <v>28</v>
      </c>
      <c r="C42" s="117" t="s">
        <v>23</v>
      </c>
      <c r="D42" s="30">
        <v>6143</v>
      </c>
      <c r="E42" s="30">
        <f>P$15+($O$15*Table43[[#This Row],[Index]])</f>
        <v>6513.9334537789819</v>
      </c>
      <c r="F42" s="116">
        <f>VLOOKUP(Table43[[#This Row],[Mon/Yr]],sindex,2,FALSE)*Table43[[#This Row],[Trend Sales]]</f>
        <v>6172.6923544566553</v>
      </c>
      <c r="G42" s="116">
        <f>ABS(Table43[[#This Row],[Sales]]-Table43[[#This Row],[Seasonal Forecast with Trend]])</f>
        <v>29.692354456655266</v>
      </c>
      <c r="H42" s="116">
        <f>Table43[[#This Row],[Abs Error]]^2</f>
        <v>881.63591317965586</v>
      </c>
      <c r="I42" s="116">
        <f>ABS(Table43[[#This Row],[Sales]]-Table43[[#This Row],[Seasonal Forecast with Trend]])/Table43[[#This Row],[Sales]]</f>
        <v>4.8335266899976019E-3</v>
      </c>
    </row>
    <row r="43" spans="1:9" x14ac:dyDescent="0.3">
      <c r="A43" s="30">
        <v>29</v>
      </c>
      <c r="C43" s="117" t="s">
        <v>24</v>
      </c>
      <c r="D43" s="30">
        <v>6442</v>
      </c>
      <c r="E43" s="30">
        <f>P$15+($O$15*Table43[[#This Row],[Index]])</f>
        <v>6546.370671484493</v>
      </c>
      <c r="F43" s="116">
        <f>VLOOKUP(Table43[[#This Row],[Mon/Yr]],sindex,2,FALSE)*Table43[[#This Row],[Trend Sales]]</f>
        <v>6519.2246314920976</v>
      </c>
      <c r="G43" s="116">
        <f>ABS(Table43[[#This Row],[Sales]]-Table43[[#This Row],[Seasonal Forecast with Trend]])</f>
        <v>77.224631492097615</v>
      </c>
      <c r="H43" s="116">
        <f>Table43[[#This Row],[Abs Error]]^2</f>
        <v>5963.6437090902746</v>
      </c>
      <c r="I43" s="116">
        <f>ABS(Table43[[#This Row],[Sales]]-Table43[[#This Row],[Seasonal Forecast with Trend]])/Table43[[#This Row],[Sales]]</f>
        <v>1.1987679523765541E-2</v>
      </c>
    </row>
    <row r="44" spans="1:9" x14ac:dyDescent="0.3">
      <c r="A44" s="30">
        <v>30</v>
      </c>
      <c r="C44" s="117" t="s">
        <v>25</v>
      </c>
      <c r="D44" s="30">
        <v>6407</v>
      </c>
      <c r="E44" s="30">
        <f>P$15+($O$15*Table43[[#This Row],[Index]])</f>
        <v>6578.8078891900032</v>
      </c>
      <c r="F44" s="116">
        <f>VLOOKUP(Table43[[#This Row],[Mon/Yr]],sindex,2,FALSE)*Table43[[#This Row],[Trend Sales]]</f>
        <v>6474.9654778715394</v>
      </c>
      <c r="G44" s="116">
        <f>ABS(Table43[[#This Row],[Sales]]-Table43[[#This Row],[Seasonal Forecast with Trend]])</f>
        <v>67.965477871539406</v>
      </c>
      <c r="H44" s="116">
        <f>Table43[[#This Row],[Abs Error]]^2</f>
        <v>4619.3061823067128</v>
      </c>
      <c r="I44" s="116">
        <f>ABS(Table43[[#This Row],[Sales]]-Table43[[#This Row],[Seasonal Forecast with Trend]])/Table43[[#This Row],[Sales]]</f>
        <v>1.0608003413694304E-2</v>
      </c>
    </row>
    <row r="45" spans="1:9" x14ac:dyDescent="0.3">
      <c r="A45" s="30">
        <v>31</v>
      </c>
      <c r="C45" s="117" t="s">
        <v>26</v>
      </c>
      <c r="D45" s="30">
        <v>6545</v>
      </c>
      <c r="E45" s="30">
        <f>P$15+($O$15*Table43[[#This Row],[Index]])</f>
        <v>6611.2451068955133</v>
      </c>
      <c r="F45" s="116">
        <f>VLOOKUP(Table43[[#This Row],[Mon/Yr]],sindex,2,FALSE)*Table43[[#This Row],[Trend Sales]]</f>
        <v>6629.7213118810969</v>
      </c>
      <c r="G45" s="116">
        <f>ABS(Table43[[#This Row],[Sales]]-Table43[[#This Row],[Seasonal Forecast with Trend]])</f>
        <v>84.721311881096881</v>
      </c>
      <c r="H45" s="116">
        <f>Table43[[#This Row],[Abs Error]]^2</f>
        <v>7177.7006868540875</v>
      </c>
      <c r="I45" s="116">
        <f>ABS(Table43[[#This Row],[Sales]]-Table43[[#This Row],[Seasonal Forecast with Trend]])/Table43[[#This Row],[Sales]]</f>
        <v>1.2944432678548034E-2</v>
      </c>
    </row>
    <row r="46" spans="1:9" x14ac:dyDescent="0.3">
      <c r="A46" s="30">
        <v>32</v>
      </c>
      <c r="C46" s="117" t="s">
        <v>27</v>
      </c>
      <c r="D46" s="30">
        <v>6758</v>
      </c>
      <c r="E46" s="30">
        <f>P$15+($O$15*Table43[[#This Row],[Index]])</f>
        <v>6643.6823246010235</v>
      </c>
      <c r="F46" s="116">
        <f>VLOOKUP(Table43[[#This Row],[Mon/Yr]],sindex,2,FALSE)*Table43[[#This Row],[Trend Sales]]</f>
        <v>6966.7270368507761</v>
      </c>
      <c r="G46" s="116">
        <f>ABS(Table43[[#This Row],[Sales]]-Table43[[#This Row],[Seasonal Forecast with Trend]])</f>
        <v>208.72703685077613</v>
      </c>
      <c r="H46" s="116">
        <f>Table43[[#This Row],[Abs Error]]^2</f>
        <v>43566.975912505259</v>
      </c>
      <c r="I46" s="116">
        <f>ABS(Table43[[#This Row],[Sales]]-Table43[[#This Row],[Seasonal Forecast with Trend]])/Table43[[#This Row],[Sales]]</f>
        <v>3.0885918444921001E-2</v>
      </c>
    </row>
    <row r="47" spans="1:9" x14ac:dyDescent="0.3">
      <c r="A47" s="30">
        <v>33</v>
      </c>
      <c r="C47" s="117" t="s">
        <v>28</v>
      </c>
      <c r="D47" s="30">
        <v>6485</v>
      </c>
      <c r="E47" s="30">
        <f>P$15+($O$15*Table43[[#This Row],[Index]])</f>
        <v>6676.1195423065346</v>
      </c>
      <c r="F47" s="116">
        <f>VLOOKUP(Table43[[#This Row],[Mon/Yr]],sindex,2,FALSE)*Table43[[#This Row],[Trend Sales]]</f>
        <v>6707.9782120139143</v>
      </c>
      <c r="G47" s="116">
        <f>ABS(Table43[[#This Row],[Sales]]-Table43[[#This Row],[Seasonal Forecast with Trend]])</f>
        <v>222.97821201391434</v>
      </c>
      <c r="H47" s="116">
        <f>Table43[[#This Row],[Abs Error]]^2</f>
        <v>49719.283032922132</v>
      </c>
      <c r="I47" s="116">
        <f>ABS(Table43[[#This Row],[Sales]]-Table43[[#This Row],[Seasonal Forecast with Trend]])/Table43[[#This Row],[Sales]]</f>
        <v>3.4383687280480239E-2</v>
      </c>
    </row>
    <row r="48" spans="1:9" x14ac:dyDescent="0.3">
      <c r="A48" s="30">
        <v>34</v>
      </c>
      <c r="C48" s="117" t="s">
        <v>29</v>
      </c>
      <c r="D48" s="30">
        <v>6805</v>
      </c>
      <c r="E48" s="30">
        <f>P$15+($O$15*Table43[[#This Row],[Index]])</f>
        <v>6708.5567600120448</v>
      </c>
      <c r="F48" s="116">
        <f>VLOOKUP(Table43[[#This Row],[Mon/Yr]],sindex,2,FALSE)*Table43[[#This Row],[Trend Sales]]</f>
        <v>6866.5905988685454</v>
      </c>
      <c r="G48" s="116">
        <f>ABS(Table43[[#This Row],[Sales]]-Table43[[#This Row],[Seasonal Forecast with Trend]])</f>
        <v>61.590598868545385</v>
      </c>
      <c r="H48" s="116">
        <f>Table43[[#This Row],[Abs Error]]^2</f>
        <v>3793.4018689860641</v>
      </c>
      <c r="I48" s="116">
        <f>ABS(Table43[[#This Row],[Sales]]-Table43[[#This Row],[Seasonal Forecast with Trend]])/Table43[[#This Row],[Sales]]</f>
        <v>9.0507860203593513E-3</v>
      </c>
    </row>
    <row r="49" spans="1:9" x14ac:dyDescent="0.3">
      <c r="A49" s="30">
        <v>35</v>
      </c>
      <c r="C49" s="117" t="s">
        <v>30</v>
      </c>
      <c r="D49" s="30">
        <v>7361</v>
      </c>
      <c r="E49" s="30">
        <f>P$15+($O$15*Table43[[#This Row],[Index]])</f>
        <v>6740.993977717555</v>
      </c>
      <c r="F49" s="116">
        <f>VLOOKUP(Table43[[#This Row],[Mon/Yr]],sindex,2,FALSE)*Table43[[#This Row],[Trend Sales]]</f>
        <v>7381.7114851825027</v>
      </c>
      <c r="G49" s="116">
        <f>ABS(Table43[[#This Row],[Sales]]-Table43[[#This Row],[Seasonal Forecast with Trend]])</f>
        <v>20.711485182502656</v>
      </c>
      <c r="H49" s="116">
        <f>Table43[[#This Row],[Abs Error]]^2</f>
        <v>428.96561846502709</v>
      </c>
      <c r="I49" s="116">
        <f>ABS(Table43[[#This Row],[Sales]]-Table43[[#This Row],[Seasonal Forecast with Trend]])/Table43[[#This Row],[Sales]]</f>
        <v>2.8136781935202632E-3</v>
      </c>
    </row>
    <row r="50" spans="1:9" x14ac:dyDescent="0.3">
      <c r="A50" s="30">
        <v>36</v>
      </c>
      <c r="C50" s="117" t="s">
        <v>31</v>
      </c>
      <c r="D50" s="30">
        <v>8079</v>
      </c>
      <c r="E50" s="30">
        <f>P$15+($O$15*Table43[[#This Row],[Index]])</f>
        <v>6773.4311954230652</v>
      </c>
      <c r="F50" s="116">
        <f>VLOOKUP(Table43[[#This Row],[Mon/Yr]],sindex,2,FALSE)*Table43[[#This Row],[Trend Sales]]</f>
        <v>8022.7333901426719</v>
      </c>
      <c r="G50" s="116">
        <f>ABS(Table43[[#This Row],[Sales]]-Table43[[#This Row],[Seasonal Forecast with Trend]])</f>
        <v>56.266609857328149</v>
      </c>
      <c r="H50" s="116">
        <f>Table43[[#This Row],[Abs Error]]^2</f>
        <v>3165.9313848367774</v>
      </c>
      <c r="I50" s="116">
        <f>ABS(Table43[[#This Row],[Sales]]-Table43[[#This Row],[Seasonal Forecast with Trend]])/Table43[[#This Row],[Sales]]</f>
        <v>6.9645512881950922E-3</v>
      </c>
    </row>
    <row r="51" spans="1:9" x14ac:dyDescent="0.3">
      <c r="A51" s="30">
        <v>37</v>
      </c>
      <c r="B51" s="30">
        <v>1999</v>
      </c>
      <c r="C51" s="117" t="s">
        <v>20</v>
      </c>
      <c r="D51" s="30">
        <v>6061</v>
      </c>
      <c r="E51" s="30">
        <f>P$15+($O$15*Table43[[#This Row],[Index]])</f>
        <v>6805.8684131285754</v>
      </c>
      <c r="F51" s="116">
        <f>VLOOKUP(Table43[[#This Row],[Mon/Yr]],sindex,2,FALSE)*Table43[[#This Row],[Trend Sales]]</f>
        <v>6058.4991735185558</v>
      </c>
      <c r="G51" s="116">
        <f>ABS(Table43[[#This Row],[Sales]]-Table43[[#This Row],[Seasonal Forecast with Trend]])</f>
        <v>2.5008264814441645</v>
      </c>
      <c r="H51" s="116">
        <f>Table43[[#This Row],[Abs Error]]^2</f>
        <v>6.2541330902924006</v>
      </c>
      <c r="I51" s="116">
        <f>ABS(Table43[[#This Row],[Sales]]-Table43[[#This Row],[Seasonal Forecast with Trend]])/Table43[[#This Row],[Sales]]</f>
        <v>4.12609549817549E-4</v>
      </c>
    </row>
    <row r="52" spans="1:9" x14ac:dyDescent="0.3">
      <c r="A52" s="30">
        <v>38</v>
      </c>
      <c r="C52" s="117" t="s">
        <v>21</v>
      </c>
      <c r="D52" s="30">
        <v>6187</v>
      </c>
      <c r="E52" s="30">
        <f>P$15+($O$15*Table43[[#This Row],[Index]])</f>
        <v>6838.3056308340856</v>
      </c>
      <c r="F52" s="116">
        <f>VLOOKUP(Table43[[#This Row],[Mon/Yr]],sindex,2,FALSE)*Table43[[#This Row],[Trend Sales]]</f>
        <v>6083.7122085001647</v>
      </c>
      <c r="G52" s="116">
        <f>ABS(Table43[[#This Row],[Sales]]-Table43[[#This Row],[Seasonal Forecast with Trend]])</f>
        <v>103.28779149983529</v>
      </c>
      <c r="H52" s="116">
        <f>Table43[[#This Row],[Abs Error]]^2</f>
        <v>10668.367872913448</v>
      </c>
      <c r="I52" s="116">
        <f>ABS(Table43[[#This Row],[Sales]]-Table43[[#This Row],[Seasonal Forecast with Trend]])/Table43[[#This Row],[Sales]]</f>
        <v>1.6694325440413011E-2</v>
      </c>
    </row>
    <row r="53" spans="1:9" x14ac:dyDescent="0.3">
      <c r="A53" s="30">
        <v>39</v>
      </c>
      <c r="C53" s="117" t="s">
        <v>22</v>
      </c>
      <c r="D53" s="30">
        <v>6792</v>
      </c>
      <c r="E53" s="30">
        <f>P$15+($O$15*Table43[[#This Row],[Index]])</f>
        <v>6870.7428485395967</v>
      </c>
      <c r="F53" s="116">
        <f>VLOOKUP(Table43[[#This Row],[Mon/Yr]],sindex,2,FALSE)*Table43[[#This Row],[Trend Sales]]</f>
        <v>6709.5051346257906</v>
      </c>
      <c r="G53" s="116">
        <f>ABS(Table43[[#This Row],[Sales]]-Table43[[#This Row],[Seasonal Forecast with Trend]])</f>
        <v>82.494865374209439</v>
      </c>
      <c r="H53" s="116">
        <f>Table43[[#This Row],[Abs Error]]^2</f>
        <v>6805.4028131089399</v>
      </c>
      <c r="I53" s="116">
        <f>ABS(Table43[[#This Row],[Sales]]-Table43[[#This Row],[Seasonal Forecast with Trend]])/Table43[[#This Row],[Sales]]</f>
        <v>1.214588712812271E-2</v>
      </c>
    </row>
    <row r="54" spans="1:9" x14ac:dyDescent="0.3">
      <c r="A54" s="30">
        <v>40</v>
      </c>
      <c r="C54" s="117" t="s">
        <v>23</v>
      </c>
      <c r="D54" s="30">
        <v>6587</v>
      </c>
      <c r="E54" s="30">
        <f>P$15+($O$15*Table43[[#This Row],[Index]])</f>
        <v>6903.1800662451069</v>
      </c>
      <c r="F54" s="116">
        <f>VLOOKUP(Table43[[#This Row],[Mon/Yr]],sindex,2,FALSE)*Table43[[#This Row],[Trend Sales]]</f>
        <v>6541.5477635296338</v>
      </c>
      <c r="G54" s="116">
        <f>ABS(Table43[[#This Row],[Sales]]-Table43[[#This Row],[Seasonal Forecast with Trend]])</f>
        <v>45.452236470366188</v>
      </c>
      <c r="H54" s="116">
        <f>Table43[[#This Row],[Abs Error]]^2</f>
        <v>2065.9058001580861</v>
      </c>
      <c r="I54" s="116">
        <f>ABS(Table43[[#This Row],[Sales]]-Table43[[#This Row],[Seasonal Forecast with Trend]])/Table43[[#This Row],[Sales]]</f>
        <v>6.9002939836596607E-3</v>
      </c>
    </row>
    <row r="55" spans="1:9" x14ac:dyDescent="0.3">
      <c r="A55" s="30">
        <v>41</v>
      </c>
      <c r="C55" s="117" t="s">
        <v>24</v>
      </c>
      <c r="D55" s="30">
        <v>6918</v>
      </c>
      <c r="E55" s="30">
        <f>P$15+($O$15*Table43[[#This Row],[Index]])</f>
        <v>6935.6172839506171</v>
      </c>
      <c r="F55" s="116">
        <f>VLOOKUP(Table43[[#This Row],[Mon/Yr]],sindex,2,FALSE)*Table43[[#This Row],[Trend Sales]]</f>
        <v>6906.8571428571431</v>
      </c>
      <c r="G55" s="116">
        <f>ABS(Table43[[#This Row],[Sales]]-Table43[[#This Row],[Seasonal Forecast with Trend]])</f>
        <v>11.142857142856883</v>
      </c>
      <c r="H55" s="116">
        <f>Table43[[#This Row],[Abs Error]]^2</f>
        <v>124.16326530611666</v>
      </c>
      <c r="I55" s="116">
        <f>ABS(Table43[[#This Row],[Sales]]-Table43[[#This Row],[Seasonal Forecast with Trend]])/Table43[[#This Row],[Sales]]</f>
        <v>1.6107049931854414E-3</v>
      </c>
    </row>
    <row r="56" spans="1:9" x14ac:dyDescent="0.3">
      <c r="A56" s="30">
        <v>42</v>
      </c>
      <c r="C56" s="117" t="s">
        <v>25</v>
      </c>
      <c r="D56" s="30">
        <v>6920</v>
      </c>
      <c r="E56" s="30">
        <f>P$15+($O$15*Table43[[#This Row],[Index]])</f>
        <v>6968.0545016561282</v>
      </c>
      <c r="F56" s="116">
        <f>VLOOKUP(Table43[[#This Row],[Mon/Yr]],sindex,2,FALSE)*Table43[[#This Row],[Trend Sales]]</f>
        <v>6858.0680734402504</v>
      </c>
      <c r="G56" s="116">
        <f>ABS(Table43[[#This Row],[Sales]]-Table43[[#This Row],[Seasonal Forecast with Trend]])</f>
        <v>61.931926559749627</v>
      </c>
      <c r="H56" s="116">
        <f>Table43[[#This Row],[Abs Error]]^2</f>
        <v>3835.5635274022211</v>
      </c>
      <c r="I56" s="116">
        <f>ABS(Table43[[#This Row],[Sales]]-Table43[[#This Row],[Seasonal Forecast with Trend]])/Table43[[#This Row],[Sales]]</f>
        <v>8.9497003699060152E-3</v>
      </c>
    </row>
    <row r="57" spans="1:9" x14ac:dyDescent="0.3">
      <c r="A57" s="30">
        <v>43</v>
      </c>
      <c r="C57" s="117" t="s">
        <v>26</v>
      </c>
      <c r="D57" s="30">
        <v>7030</v>
      </c>
      <c r="E57" s="30">
        <f>P$15+($O$15*Table43[[#This Row],[Index]])</f>
        <v>7000.4917193616384</v>
      </c>
      <c r="F57" s="116">
        <f>VLOOKUP(Table43[[#This Row],[Mon/Yr]],sindex,2,FALSE)*Table43[[#This Row],[Trend Sales]]</f>
        <v>7020.0557376237812</v>
      </c>
      <c r="G57" s="116">
        <f>ABS(Table43[[#This Row],[Sales]]-Table43[[#This Row],[Seasonal Forecast with Trend]])</f>
        <v>9.9442623762188305</v>
      </c>
      <c r="H57" s="116">
        <f>Table43[[#This Row],[Abs Error]]^2</f>
        <v>98.888354207081377</v>
      </c>
      <c r="I57" s="116">
        <f>ABS(Table43[[#This Row],[Sales]]-Table43[[#This Row],[Seasonal Forecast with Trend]])/Table43[[#This Row],[Sales]]</f>
        <v>1.4145465684521808E-3</v>
      </c>
    </row>
    <row r="58" spans="1:9" x14ac:dyDescent="0.3">
      <c r="A58" s="30">
        <v>44</v>
      </c>
      <c r="C58" s="117" t="s">
        <v>27</v>
      </c>
      <c r="D58" s="30">
        <v>7491</v>
      </c>
      <c r="E58" s="30">
        <f>P$15+($O$15*Table43[[#This Row],[Index]])</f>
        <v>7032.9289370671486</v>
      </c>
      <c r="F58" s="116">
        <f>VLOOKUP(Table43[[#This Row],[Mon/Yr]],sindex,2,FALSE)*Table43[[#This Row],[Trend Sales]]</f>
        <v>7374.9005115259333</v>
      </c>
      <c r="G58" s="116">
        <f>ABS(Table43[[#This Row],[Sales]]-Table43[[#This Row],[Seasonal Forecast with Trend]])</f>
        <v>116.09948847406667</v>
      </c>
      <c r="H58" s="116">
        <f>Table43[[#This Row],[Abs Error]]^2</f>
        <v>13479.09122393994</v>
      </c>
      <c r="I58" s="116">
        <f>ABS(Table43[[#This Row],[Sales]]-Table43[[#This Row],[Seasonal Forecast with Trend]])/Table43[[#This Row],[Sales]]</f>
        <v>1.5498530032581321E-2</v>
      </c>
    </row>
    <row r="59" spans="1:9" x14ac:dyDescent="0.3">
      <c r="A59" s="30">
        <v>45</v>
      </c>
      <c r="C59" s="117" t="s">
        <v>28</v>
      </c>
      <c r="D59" s="30">
        <v>7305</v>
      </c>
      <c r="E59" s="30">
        <f>P$15+($O$15*Table43[[#This Row],[Index]])</f>
        <v>7065.3661547726588</v>
      </c>
      <c r="F59" s="116">
        <f>VLOOKUP(Table43[[#This Row],[Mon/Yr]],sindex,2,FALSE)*Table43[[#This Row],[Trend Sales]]</f>
        <v>7099.0823225644708</v>
      </c>
      <c r="G59" s="116">
        <f>ABS(Table43[[#This Row],[Sales]]-Table43[[#This Row],[Seasonal Forecast with Trend]])</f>
        <v>205.91767743552919</v>
      </c>
      <c r="H59" s="116">
        <f>Table43[[#This Row],[Abs Error]]^2</f>
        <v>42402.089880442647</v>
      </c>
      <c r="I59" s="116">
        <f>ABS(Table43[[#This Row],[Sales]]-Table43[[#This Row],[Seasonal Forecast with Trend]])/Table43[[#This Row],[Sales]]</f>
        <v>2.8188593762563885E-2</v>
      </c>
    </row>
    <row r="60" spans="1:9" x14ac:dyDescent="0.3">
      <c r="A60" s="30">
        <v>46</v>
      </c>
      <c r="C60" s="117" t="s">
        <v>29</v>
      </c>
      <c r="D60" s="30">
        <v>7571</v>
      </c>
      <c r="E60" s="30">
        <f>P$15+($O$15*Table43[[#This Row],[Index]])</f>
        <v>7097.803372478169</v>
      </c>
      <c r="F60" s="116">
        <f>VLOOKUP(Table43[[#This Row],[Mon/Yr]],sindex,2,FALSE)*Table43[[#This Row],[Trend Sales]]</f>
        <v>7265.0067150938958</v>
      </c>
      <c r="G60" s="116">
        <f>ABS(Table43[[#This Row],[Sales]]-Table43[[#This Row],[Seasonal Forecast with Trend]])</f>
        <v>305.99328490610424</v>
      </c>
      <c r="H60" s="116">
        <f>Table43[[#This Row],[Abs Error]]^2</f>
        <v>93631.890407628278</v>
      </c>
      <c r="I60" s="116">
        <f>ABS(Table43[[#This Row],[Sales]]-Table43[[#This Row],[Seasonal Forecast with Trend]])/Table43[[#This Row],[Sales]]</f>
        <v>4.0416495166570365E-2</v>
      </c>
    </row>
    <row r="61" spans="1:9" x14ac:dyDescent="0.3">
      <c r="A61" s="30">
        <v>47</v>
      </c>
      <c r="C61" s="117" t="s">
        <v>30</v>
      </c>
      <c r="D61" s="30">
        <v>8013</v>
      </c>
      <c r="E61" s="30">
        <f>P$15+($O$15*Table43[[#This Row],[Index]])</f>
        <v>7130.2405901836801</v>
      </c>
      <c r="F61" s="116">
        <f>VLOOKUP(Table43[[#This Row],[Mon/Yr]],sindex,2,FALSE)*Table43[[#This Row],[Trend Sales]]</f>
        <v>7807.9551814841652</v>
      </c>
      <c r="G61" s="116">
        <f>ABS(Table43[[#This Row],[Sales]]-Table43[[#This Row],[Seasonal Forecast with Trend]])</f>
        <v>205.04481851583478</v>
      </c>
      <c r="H61" s="116">
        <f>Table43[[#This Row],[Abs Error]]^2</f>
        <v>42043.377600191619</v>
      </c>
      <c r="I61" s="116">
        <f>ABS(Table43[[#This Row],[Sales]]-Table43[[#This Row],[Seasonal Forecast with Trend]])/Table43[[#This Row],[Sales]]</f>
        <v>2.5589020156724668E-2</v>
      </c>
    </row>
    <row r="62" spans="1:9" x14ac:dyDescent="0.3">
      <c r="A62" s="30">
        <v>48</v>
      </c>
      <c r="C62" s="117" t="s">
        <v>31</v>
      </c>
      <c r="D62" s="30">
        <v>8727</v>
      </c>
      <c r="E62" s="30">
        <f>P$15+($O$15*Table43[[#This Row],[Index]])</f>
        <v>7162.6778078891903</v>
      </c>
      <c r="F62" s="116">
        <f>VLOOKUP(Table43[[#This Row],[Mon/Yr]],sindex,2,FALSE)*Table43[[#This Row],[Trend Sales]]</f>
        <v>8483.7732538002601</v>
      </c>
      <c r="G62" s="116">
        <f>ABS(Table43[[#This Row],[Sales]]-Table43[[#This Row],[Seasonal Forecast with Trend]])</f>
        <v>243.22674619973986</v>
      </c>
      <c r="H62" s="116">
        <f>Table43[[#This Row],[Abs Error]]^2</f>
        <v>59159.250066912668</v>
      </c>
      <c r="I62" s="116">
        <f>ABS(Table43[[#This Row],[Sales]]-Table43[[#This Row],[Seasonal Forecast with Trend]])/Table43[[#This Row],[Sales]]</f>
        <v>2.7870602291708475E-2</v>
      </c>
    </row>
    <row r="63" spans="1:9" x14ac:dyDescent="0.3">
      <c r="A63" s="30">
        <v>49</v>
      </c>
      <c r="B63" s="30">
        <v>2000</v>
      </c>
      <c r="C63" s="117" t="s">
        <v>20</v>
      </c>
      <c r="D63" s="30">
        <v>6776</v>
      </c>
      <c r="E63" s="30">
        <f>P$15+($O$15*Table43[[#This Row],[Index]])</f>
        <v>7195.1150255947005</v>
      </c>
      <c r="F63" s="116">
        <f>VLOOKUP(Table43[[#This Row],[Mon/Yr]],sindex,2,FALSE)*Table43[[#This Row],[Trend Sales]]</f>
        <v>6405.0016529628883</v>
      </c>
      <c r="G63" s="116">
        <f>ABS(Table43[[#This Row],[Sales]]-Table43[[#This Row],[Seasonal Forecast with Trend]])</f>
        <v>370.99834703711167</v>
      </c>
      <c r="H63" s="116">
        <f>Table43[[#This Row],[Abs Error]]^2</f>
        <v>137639.77350426913</v>
      </c>
      <c r="I63" s="116">
        <f>ABS(Table43[[#This Row],[Sales]]-Table43[[#This Row],[Seasonal Forecast with Trend]])/Table43[[#This Row],[Sales]]</f>
        <v>5.4751822171946823E-2</v>
      </c>
    </row>
    <row r="64" spans="1:9" x14ac:dyDescent="0.3">
      <c r="A64" s="30">
        <v>50</v>
      </c>
      <c r="C64" s="117" t="s">
        <v>21</v>
      </c>
      <c r="D64" s="30">
        <v>6847</v>
      </c>
      <c r="E64" s="30">
        <f>P$15+($O$15*Table43[[#This Row],[Index]])</f>
        <v>7227.5522433002106</v>
      </c>
      <c r="F64" s="116">
        <f>VLOOKUP(Table43[[#This Row],[Mon/Yr]],sindex,2,FALSE)*Table43[[#This Row],[Trend Sales]]</f>
        <v>6430.0062316423646</v>
      </c>
      <c r="G64" s="116">
        <f>ABS(Table43[[#This Row],[Sales]]-Table43[[#This Row],[Seasonal Forecast with Trend]])</f>
        <v>416.99376835763542</v>
      </c>
      <c r="H64" s="116">
        <f>Table43[[#This Row],[Abs Error]]^2</f>
        <v>173883.80284910131</v>
      </c>
      <c r="I64" s="116">
        <f>ABS(Table43[[#This Row],[Sales]]-Table43[[#This Row],[Seasonal Forecast with Trend]])/Table43[[#This Row],[Sales]]</f>
        <v>6.0901674946346636E-2</v>
      </c>
    </row>
    <row r="65" spans="1:9" x14ac:dyDescent="0.3">
      <c r="A65" s="30">
        <v>51</v>
      </c>
      <c r="C65" s="117" t="s">
        <v>22</v>
      </c>
      <c r="D65" s="30">
        <v>7531</v>
      </c>
      <c r="E65" s="30">
        <f>P$15+($O$15*Table43[[#This Row],[Index]])</f>
        <v>7259.9894610057218</v>
      </c>
      <c r="F65" s="116">
        <f>VLOOKUP(Table43[[#This Row],[Mon/Yr]],sindex,2,FALSE)*Table43[[#This Row],[Trend Sales]]</f>
        <v>7089.6171840139114</v>
      </c>
      <c r="G65" s="116">
        <f>ABS(Table43[[#This Row],[Sales]]-Table43[[#This Row],[Seasonal Forecast with Trend]])</f>
        <v>441.38281598608864</v>
      </c>
      <c r="H65" s="116">
        <f>Table43[[#This Row],[Abs Error]]^2</f>
        <v>194818.7902478094</v>
      </c>
      <c r="I65" s="116">
        <f>ABS(Table43[[#This Row],[Sales]]-Table43[[#This Row],[Seasonal Forecast with Trend]])/Table43[[#This Row],[Sales]]</f>
        <v>5.8608792455993715E-2</v>
      </c>
    </row>
    <row r="66" spans="1:9" x14ac:dyDescent="0.3">
      <c r="A66" s="30">
        <v>52</v>
      </c>
      <c r="C66" s="117" t="s">
        <v>23</v>
      </c>
      <c r="D66" s="30">
        <v>7333</v>
      </c>
      <c r="E66" s="30">
        <f>P$15+($O$15*Table43[[#This Row],[Index]])</f>
        <v>7292.4266787112319</v>
      </c>
      <c r="F66" s="116">
        <f>VLOOKUP(Table43[[#This Row],[Mon/Yr]],sindex,2,FALSE)*Table43[[#This Row],[Trend Sales]]</f>
        <v>6910.4031726026114</v>
      </c>
      <c r="G66" s="116">
        <f>ABS(Table43[[#This Row],[Sales]]-Table43[[#This Row],[Seasonal Forecast with Trend]])</f>
        <v>422.59682739738855</v>
      </c>
      <c r="H66" s="116">
        <f>Table43[[#This Row],[Abs Error]]^2</f>
        <v>178588.07852633821</v>
      </c>
      <c r="I66" s="116">
        <f>ABS(Table43[[#This Row],[Sales]]-Table43[[#This Row],[Seasonal Forecast with Trend]])/Table43[[#This Row],[Sales]]</f>
        <v>5.7629459620535735E-2</v>
      </c>
    </row>
    <row r="67" spans="1:9" x14ac:dyDescent="0.3">
      <c r="A67" s="30">
        <v>53</v>
      </c>
      <c r="C67" s="117" t="s">
        <v>24</v>
      </c>
      <c r="D67" s="30">
        <v>7685</v>
      </c>
      <c r="E67" s="30">
        <f>P$15+($O$15*Table43[[#This Row],[Index]])</f>
        <v>7324.8638964167421</v>
      </c>
      <c r="F67" s="116">
        <f>VLOOKUP(Table43[[#This Row],[Mon/Yr]],sindex,2,FALSE)*Table43[[#This Row],[Trend Sales]]</f>
        <v>7294.4896542221904</v>
      </c>
      <c r="G67" s="116">
        <f>ABS(Table43[[#This Row],[Sales]]-Table43[[#This Row],[Seasonal Forecast with Trend]])</f>
        <v>390.51034577780956</v>
      </c>
      <c r="H67" s="116">
        <f>Table43[[#This Row],[Abs Error]]^2</f>
        <v>152498.33015950437</v>
      </c>
      <c r="I67" s="116">
        <f>ABS(Table43[[#This Row],[Sales]]-Table43[[#This Row],[Seasonal Forecast with Trend]])/Table43[[#This Row],[Sales]]</f>
        <v>5.0814618839012303E-2</v>
      </c>
    </row>
    <row r="68" spans="1:9" x14ac:dyDescent="0.3">
      <c r="A68" s="30">
        <v>54</v>
      </c>
      <c r="C68" s="117" t="s">
        <v>25</v>
      </c>
      <c r="D68" s="30">
        <v>7518</v>
      </c>
      <c r="E68" s="30">
        <f>P$15+($O$15*Table43[[#This Row],[Index]])</f>
        <v>7357.3011141222523</v>
      </c>
      <c r="F68" s="116">
        <f>VLOOKUP(Table43[[#This Row],[Mon/Yr]],sindex,2,FALSE)*Table43[[#This Row],[Trend Sales]]</f>
        <v>7241.1706690089595</v>
      </c>
      <c r="G68" s="116">
        <f>ABS(Table43[[#This Row],[Sales]]-Table43[[#This Row],[Seasonal Forecast with Trend]])</f>
        <v>276.82933099104048</v>
      </c>
      <c r="H68" s="116">
        <f>Table43[[#This Row],[Abs Error]]^2</f>
        <v>76634.478496947049</v>
      </c>
      <c r="I68" s="116">
        <f>ABS(Table43[[#This Row],[Sales]]-Table43[[#This Row],[Seasonal Forecast with Trend]])/Table43[[#This Row],[Sales]]</f>
        <v>3.6822204175450984E-2</v>
      </c>
    </row>
    <row r="69" spans="1:9" x14ac:dyDescent="0.3">
      <c r="A69" s="30">
        <v>55</v>
      </c>
      <c r="C69" s="117" t="s">
        <v>26</v>
      </c>
      <c r="D69" s="30">
        <v>7672</v>
      </c>
      <c r="E69" s="30">
        <f>P$15+($O$15*Table43[[#This Row],[Index]])</f>
        <v>7389.7383318277625</v>
      </c>
      <c r="F69" s="116">
        <f>VLOOKUP(Table43[[#This Row],[Mon/Yr]],sindex,2,FALSE)*Table43[[#This Row],[Trend Sales]]</f>
        <v>7410.3901633664645</v>
      </c>
      <c r="G69" s="116">
        <f>ABS(Table43[[#This Row],[Sales]]-Table43[[#This Row],[Seasonal Forecast with Trend]])</f>
        <v>261.60983663353545</v>
      </c>
      <c r="H69" s="116">
        <f>Table43[[#This Row],[Abs Error]]^2</f>
        <v>68439.706623425111</v>
      </c>
      <c r="I69" s="116">
        <f>ABS(Table43[[#This Row],[Sales]]-Table43[[#This Row],[Seasonal Forecast with Trend]])/Table43[[#This Row],[Sales]]</f>
        <v>3.4099300916779908E-2</v>
      </c>
    </row>
    <row r="70" spans="1:9" x14ac:dyDescent="0.3">
      <c r="A70" s="30">
        <v>56</v>
      </c>
      <c r="C70" s="117" t="s">
        <v>27</v>
      </c>
      <c r="D70" s="30">
        <v>7992</v>
      </c>
      <c r="E70" s="30">
        <f>P$15+($O$15*Table43[[#This Row],[Index]])</f>
        <v>7422.1755495332736</v>
      </c>
      <c r="F70" s="116">
        <f>VLOOKUP(Table43[[#This Row],[Mon/Yr]],sindex,2,FALSE)*Table43[[#This Row],[Trend Sales]]</f>
        <v>7783.0739862010914</v>
      </c>
      <c r="G70" s="116">
        <f>ABS(Table43[[#This Row],[Sales]]-Table43[[#This Row],[Seasonal Forecast with Trend]])</f>
        <v>208.92601379890857</v>
      </c>
      <c r="H70" s="116">
        <f>Table43[[#This Row],[Abs Error]]^2</f>
        <v>43650.079241901738</v>
      </c>
      <c r="I70" s="116">
        <f>ABS(Table43[[#This Row],[Sales]]-Table43[[#This Row],[Seasonal Forecast with Trend]])/Table43[[#This Row],[Sales]]</f>
        <v>2.6141893618482053E-2</v>
      </c>
    </row>
    <row r="71" spans="1:9" x14ac:dyDescent="0.3">
      <c r="A71" s="30">
        <v>57</v>
      </c>
      <c r="C71" s="117" t="s">
        <v>28</v>
      </c>
      <c r="D71" s="30">
        <v>7645</v>
      </c>
      <c r="E71" s="30">
        <f>P$15+($O$15*Table43[[#This Row],[Index]])</f>
        <v>7454.6127672387838</v>
      </c>
      <c r="F71" s="116">
        <f>VLOOKUP(Table43[[#This Row],[Mon/Yr]],sindex,2,FALSE)*Table43[[#This Row],[Trend Sales]]</f>
        <v>7490.1864331150282</v>
      </c>
      <c r="G71" s="116">
        <f>ABS(Table43[[#This Row],[Sales]]-Table43[[#This Row],[Seasonal Forecast with Trend]])</f>
        <v>154.81356688497181</v>
      </c>
      <c r="H71" s="116">
        <f>Table43[[#This Row],[Abs Error]]^2</f>
        <v>23967.240491647641</v>
      </c>
      <c r="I71" s="116">
        <f>ABS(Table43[[#This Row],[Sales]]-Table43[[#This Row],[Seasonal Forecast with Trend]])/Table43[[#This Row],[Sales]]</f>
        <v>2.0250303058858315E-2</v>
      </c>
    </row>
    <row r="72" spans="1:9" x14ac:dyDescent="0.3">
      <c r="A72" s="30">
        <v>58</v>
      </c>
      <c r="C72" s="117" t="s">
        <v>29</v>
      </c>
      <c r="D72" s="30">
        <v>7923</v>
      </c>
      <c r="E72" s="30">
        <f>P$15+($O$15*Table43[[#This Row],[Index]])</f>
        <v>7487.049984944294</v>
      </c>
      <c r="F72" s="116">
        <f>VLOOKUP(Table43[[#This Row],[Mon/Yr]],sindex,2,FALSE)*Table43[[#This Row],[Trend Sales]]</f>
        <v>7663.4228313192461</v>
      </c>
      <c r="G72" s="116">
        <f>ABS(Table43[[#This Row],[Sales]]-Table43[[#This Row],[Seasonal Forecast with Trend]])</f>
        <v>259.57716868075386</v>
      </c>
      <c r="H72" s="116">
        <f>Table43[[#This Row],[Abs Error]]^2</f>
        <v>67380.306500316539</v>
      </c>
      <c r="I72" s="116">
        <f>ABS(Table43[[#This Row],[Sales]]-Table43[[#This Row],[Seasonal Forecast with Trend]])/Table43[[#This Row],[Sales]]</f>
        <v>3.2762485003250519E-2</v>
      </c>
    </row>
    <row r="73" spans="1:9" x14ac:dyDescent="0.3">
      <c r="A73" s="30">
        <v>59</v>
      </c>
      <c r="C73" s="117" t="s">
        <v>30</v>
      </c>
      <c r="D73" s="30">
        <v>8297</v>
      </c>
      <c r="E73" s="30">
        <f>P$15+($O$15*Table43[[#This Row],[Index]])</f>
        <v>7519.4872026498042</v>
      </c>
      <c r="F73" s="116">
        <f>VLOOKUP(Table43[[#This Row],[Mon/Yr]],sindex,2,FALSE)*Table43[[#This Row],[Trend Sales]]</f>
        <v>8234.1988777858278</v>
      </c>
      <c r="G73" s="116">
        <f>ABS(Table43[[#This Row],[Sales]]-Table43[[#This Row],[Seasonal Forecast with Trend]])</f>
        <v>62.80112221417221</v>
      </c>
      <c r="H73" s="116">
        <f>Table43[[#This Row],[Abs Error]]^2</f>
        <v>3943.9809513593941</v>
      </c>
      <c r="I73" s="116">
        <f>ABS(Table43[[#This Row],[Sales]]-Table43[[#This Row],[Seasonal Forecast with Trend]])/Table43[[#This Row],[Sales]]</f>
        <v>7.5691360990927095E-3</v>
      </c>
    </row>
    <row r="74" spans="1:9" x14ac:dyDescent="0.3">
      <c r="A74" s="30">
        <v>60</v>
      </c>
      <c r="C74" s="117" t="s">
        <v>31</v>
      </c>
      <c r="D74" s="30">
        <v>8537</v>
      </c>
      <c r="E74" s="30">
        <f>P$15+($O$15*Table43[[#This Row],[Index]])</f>
        <v>7551.9244203553153</v>
      </c>
      <c r="F74" s="116">
        <f>VLOOKUP(Table43[[#This Row],[Mon/Yr]],sindex,2,FALSE)*Table43[[#This Row],[Trend Sales]]</f>
        <v>8944.8131174578484</v>
      </c>
      <c r="G74" s="116">
        <f>ABS(Table43[[#This Row],[Sales]]-Table43[[#This Row],[Seasonal Forecast with Trend]])</f>
        <v>407.81311745784842</v>
      </c>
      <c r="H74" s="116">
        <f>Table43[[#This Row],[Abs Error]]^2</f>
        <v>166311.53877068887</v>
      </c>
      <c r="I74" s="116">
        <f>ABS(Table43[[#This Row],[Sales]]-Table43[[#This Row],[Seasonal Forecast with Trend]])/Table43[[#This Row],[Sales]]</f>
        <v>4.7770073498635164E-2</v>
      </c>
    </row>
    <row r="75" spans="1:9" x14ac:dyDescent="0.3">
      <c r="A75" s="30">
        <v>61</v>
      </c>
      <c r="B75" s="30">
        <v>2001</v>
      </c>
      <c r="C75" s="117" t="s">
        <v>20</v>
      </c>
      <c r="D75" s="30">
        <v>7005</v>
      </c>
      <c r="E75" s="30">
        <f>P$15+($O$15*Table43[[#This Row],[Index]])</f>
        <v>7584.3616380608255</v>
      </c>
      <c r="F75" s="116">
        <f>VLOOKUP(Table43[[#This Row],[Mon/Yr]],sindex,2,FALSE)*Table43[[#This Row],[Trend Sales]]</f>
        <v>6751.5041324072208</v>
      </c>
      <c r="G75" s="116">
        <f>ABS(Table43[[#This Row],[Sales]]-Table43[[#This Row],[Seasonal Forecast with Trend]])</f>
        <v>253.49586759277918</v>
      </c>
      <c r="H75" s="116">
        <f>Table43[[#This Row],[Abs Error]]^2</f>
        <v>64260.154886615834</v>
      </c>
      <c r="I75" s="116">
        <f>ABS(Table43[[#This Row],[Sales]]-Table43[[#This Row],[Seasonal Forecast with Trend]])/Table43[[#This Row],[Sales]]</f>
        <v>3.6187846908319651E-2</v>
      </c>
    </row>
    <row r="76" spans="1:9" x14ac:dyDescent="0.3">
      <c r="A76" s="30">
        <v>62</v>
      </c>
      <c r="C76" s="117" t="s">
        <v>21</v>
      </c>
      <c r="D76" s="30">
        <v>6855</v>
      </c>
      <c r="E76" s="30">
        <f>P$15+($O$15*Table43[[#This Row],[Index]])</f>
        <v>7616.7988557663357</v>
      </c>
      <c r="F76" s="116">
        <f>VLOOKUP(Table43[[#This Row],[Mon/Yr]],sindex,2,FALSE)*Table43[[#This Row],[Trend Sales]]</f>
        <v>6776.3002547845645</v>
      </c>
      <c r="G76" s="116">
        <f>ABS(Table43[[#This Row],[Sales]]-Table43[[#This Row],[Seasonal Forecast with Trend]])</f>
        <v>78.699745215435541</v>
      </c>
      <c r="H76" s="116">
        <f>Table43[[#This Row],[Abs Error]]^2</f>
        <v>6193.6498969744698</v>
      </c>
      <c r="I76" s="116">
        <f>ABS(Table43[[#This Row],[Sales]]-Table43[[#This Row],[Seasonal Forecast with Trend]])/Table43[[#This Row],[Sales]]</f>
        <v>1.1480633875337059E-2</v>
      </c>
    </row>
    <row r="77" spans="1:9" x14ac:dyDescent="0.3">
      <c r="A77" s="30">
        <v>63</v>
      </c>
      <c r="C77" s="117" t="s">
        <v>22</v>
      </c>
      <c r="D77" s="30">
        <v>7420</v>
      </c>
      <c r="E77" s="30">
        <f>P$15+($O$15*Table43[[#This Row],[Index]])</f>
        <v>7649.2360734718459</v>
      </c>
      <c r="F77" s="116">
        <f>VLOOKUP(Table43[[#This Row],[Mon/Yr]],sindex,2,FALSE)*Table43[[#This Row],[Trend Sales]]</f>
        <v>7469.7292334020312</v>
      </c>
      <c r="G77" s="116">
        <f>ABS(Table43[[#This Row],[Sales]]-Table43[[#This Row],[Seasonal Forecast with Trend]])</f>
        <v>49.729233402031241</v>
      </c>
      <c r="H77" s="116">
        <f>Table43[[#This Row],[Abs Error]]^2</f>
        <v>2472.9966547536997</v>
      </c>
      <c r="I77" s="116">
        <f>ABS(Table43[[#This Row],[Sales]]-Table43[[#This Row],[Seasonal Forecast with Trend]])/Table43[[#This Row],[Sales]]</f>
        <v>6.7020530191416764E-3</v>
      </c>
    </row>
    <row r="78" spans="1:9" x14ac:dyDescent="0.3">
      <c r="A78" s="30">
        <v>64</v>
      </c>
      <c r="C78" s="117" t="s">
        <v>23</v>
      </c>
      <c r="D78" s="30">
        <v>7183</v>
      </c>
      <c r="E78" s="30">
        <f>P$15+($O$15*Table43[[#This Row],[Index]])</f>
        <v>7681.6732911773561</v>
      </c>
      <c r="F78" s="116">
        <f>VLOOKUP(Table43[[#This Row],[Mon/Yr]],sindex,2,FALSE)*Table43[[#This Row],[Trend Sales]]</f>
        <v>7279.2585816755882</v>
      </c>
      <c r="G78" s="116">
        <f>ABS(Table43[[#This Row],[Sales]]-Table43[[#This Row],[Seasonal Forecast with Trend]])</f>
        <v>96.258581675588175</v>
      </c>
      <c r="H78" s="116">
        <f>Table43[[#This Row],[Abs Error]]^2</f>
        <v>9265.7145461958789</v>
      </c>
      <c r="I78" s="116">
        <f>ABS(Table43[[#This Row],[Sales]]-Table43[[#This Row],[Seasonal Forecast with Trend]])/Table43[[#This Row],[Sales]]</f>
        <v>1.3400888441540885E-2</v>
      </c>
    </row>
    <row r="79" spans="1:9" x14ac:dyDescent="0.3">
      <c r="A79" s="30">
        <v>65</v>
      </c>
      <c r="C79" s="117" t="s">
        <v>24</v>
      </c>
      <c r="D79" s="30">
        <v>7554</v>
      </c>
      <c r="E79" s="30">
        <f>P$15+($O$15*Table43[[#This Row],[Index]])</f>
        <v>7714.1105088828663</v>
      </c>
      <c r="F79" s="116">
        <f>VLOOKUP(Table43[[#This Row],[Mon/Yr]],sindex,2,FALSE)*Table43[[#This Row],[Trend Sales]]</f>
        <v>7682.1221655872359</v>
      </c>
      <c r="G79" s="116">
        <f>ABS(Table43[[#This Row],[Sales]]-Table43[[#This Row],[Seasonal Forecast with Trend]])</f>
        <v>128.12216558723594</v>
      </c>
      <c r="H79" s="116">
        <f>Table43[[#This Row],[Abs Error]]^2</f>
        <v>16415.289314763104</v>
      </c>
      <c r="I79" s="116">
        <f>ABS(Table43[[#This Row],[Sales]]-Table43[[#This Row],[Seasonal Forecast with Trend]])/Table43[[#This Row],[Sales]]</f>
        <v>1.6960837382477618E-2</v>
      </c>
    </row>
    <row r="80" spans="1:9" x14ac:dyDescent="0.3">
      <c r="A80" s="30">
        <v>66</v>
      </c>
      <c r="C80" s="117" t="s">
        <v>25</v>
      </c>
      <c r="D80" s="30">
        <v>7475</v>
      </c>
      <c r="E80" s="30">
        <f>P$15+($O$15*Table43[[#This Row],[Index]])</f>
        <v>7746.5477265883774</v>
      </c>
      <c r="F80" s="116">
        <f>VLOOKUP(Table43[[#This Row],[Mon/Yr]],sindex,2,FALSE)*Table43[[#This Row],[Trend Sales]]</f>
        <v>7624.2732645776705</v>
      </c>
      <c r="G80" s="116">
        <f>ABS(Table43[[#This Row],[Sales]]-Table43[[#This Row],[Seasonal Forecast with Trend]])</f>
        <v>149.27326457767049</v>
      </c>
      <c r="H80" s="116">
        <f>Table43[[#This Row],[Abs Error]]^2</f>
        <v>22282.507517675214</v>
      </c>
      <c r="I80" s="116">
        <f>ABS(Table43[[#This Row],[Sales]]-Table43[[#This Row],[Seasonal Forecast with Trend]])/Table43[[#This Row],[Sales]]</f>
        <v>1.9969667502029498E-2</v>
      </c>
    </row>
    <row r="81" spans="1:9" x14ac:dyDescent="0.3">
      <c r="A81" s="30">
        <v>67</v>
      </c>
      <c r="C81" s="117" t="s">
        <v>26</v>
      </c>
      <c r="D81" s="30">
        <v>7687</v>
      </c>
      <c r="E81" s="30">
        <f>P$15+($O$15*Table43[[#This Row],[Index]])</f>
        <v>7778.9849442938876</v>
      </c>
      <c r="F81" s="116">
        <f>VLOOKUP(Table43[[#This Row],[Mon/Yr]],sindex,2,FALSE)*Table43[[#This Row],[Trend Sales]]</f>
        <v>7800.7245891091479</v>
      </c>
      <c r="G81" s="116">
        <f>ABS(Table43[[#This Row],[Sales]]-Table43[[#This Row],[Seasonal Forecast with Trend]])</f>
        <v>113.72458910914793</v>
      </c>
      <c r="H81" s="116">
        <f>Table43[[#This Row],[Abs Error]]^2</f>
        <v>12933.282168044527</v>
      </c>
      <c r="I81" s="116">
        <f>ABS(Table43[[#This Row],[Sales]]-Table43[[#This Row],[Seasonal Forecast with Trend]])/Table43[[#This Row],[Sales]]</f>
        <v>1.4794404723448409E-2</v>
      </c>
    </row>
    <row r="82" spans="1:9" x14ac:dyDescent="0.3">
      <c r="A82" s="30">
        <v>68</v>
      </c>
      <c r="C82" s="117" t="s">
        <v>27</v>
      </c>
      <c r="D82" s="30">
        <v>7922</v>
      </c>
      <c r="E82" s="30">
        <f>P$15+($O$15*Table43[[#This Row],[Index]])</f>
        <v>7811.4221619993987</v>
      </c>
      <c r="F82" s="116">
        <f>VLOOKUP(Table43[[#This Row],[Mon/Yr]],sindex,2,FALSE)*Table43[[#This Row],[Trend Sales]]</f>
        <v>8191.2474608762495</v>
      </c>
      <c r="G82" s="116">
        <f>ABS(Table43[[#This Row],[Sales]]-Table43[[#This Row],[Seasonal Forecast with Trend]])</f>
        <v>269.24746087624953</v>
      </c>
      <c r="H82" s="116">
        <f>Table43[[#This Row],[Abs Error]]^2</f>
        <v>72494.195188307523</v>
      </c>
      <c r="I82" s="116">
        <f>ABS(Table43[[#This Row],[Sales]]-Table43[[#This Row],[Seasonal Forecast with Trend]])/Table43[[#This Row],[Sales]]</f>
        <v>3.3987308871023671E-2</v>
      </c>
    </row>
    <row r="83" spans="1:9" x14ac:dyDescent="0.3">
      <c r="A83" s="30">
        <v>69</v>
      </c>
      <c r="C83" s="117" t="s">
        <v>28</v>
      </c>
      <c r="D83" s="30">
        <v>7426</v>
      </c>
      <c r="E83" s="30">
        <f>P$15+($O$15*Table43[[#This Row],[Index]])</f>
        <v>7843.8593797049089</v>
      </c>
      <c r="F83" s="116">
        <f>VLOOKUP(Table43[[#This Row],[Mon/Yr]],sindex,2,FALSE)*Table43[[#This Row],[Trend Sales]]</f>
        <v>7881.2905436655856</v>
      </c>
      <c r="G83" s="116">
        <f>ABS(Table43[[#This Row],[Sales]]-Table43[[#This Row],[Seasonal Forecast with Trend]])</f>
        <v>455.29054366558557</v>
      </c>
      <c r="H83" s="116">
        <f>Table43[[#This Row],[Abs Error]]^2</f>
        <v>207289.47915130449</v>
      </c>
      <c r="I83" s="116">
        <f>ABS(Table43[[#This Row],[Sales]]-Table43[[#This Row],[Seasonal Forecast with Trend]])/Table43[[#This Row],[Sales]]</f>
        <v>6.1310334455371068E-2</v>
      </c>
    </row>
    <row r="84" spans="1:9" x14ac:dyDescent="0.3">
      <c r="A84" s="30">
        <v>70</v>
      </c>
      <c r="C84" s="117" t="s">
        <v>29</v>
      </c>
      <c r="D84" s="30">
        <v>7736</v>
      </c>
      <c r="E84" s="30">
        <f>P$15+($O$15*Table43[[#This Row],[Index]])</f>
        <v>7876.2965974104191</v>
      </c>
      <c r="F84" s="116">
        <f>VLOOKUP(Table43[[#This Row],[Mon/Yr]],sindex,2,FALSE)*Table43[[#This Row],[Trend Sales]]</f>
        <v>8061.8389475445974</v>
      </c>
      <c r="G84" s="116">
        <f>ABS(Table43[[#This Row],[Sales]]-Table43[[#This Row],[Seasonal Forecast with Trend]])</f>
        <v>325.83894754459743</v>
      </c>
      <c r="H84" s="116">
        <f>Table43[[#This Row],[Abs Error]]^2</f>
        <v>106171.01973697092</v>
      </c>
      <c r="I84" s="116">
        <f>ABS(Table43[[#This Row],[Sales]]-Table43[[#This Row],[Seasonal Forecast with Trend]])/Table43[[#This Row],[Sales]]</f>
        <v>4.2119822588495018E-2</v>
      </c>
    </row>
    <row r="85" spans="1:9" x14ac:dyDescent="0.3">
      <c r="A85" s="30">
        <v>71</v>
      </c>
      <c r="C85" s="117" t="s">
        <v>30</v>
      </c>
      <c r="D85" s="30">
        <v>8483</v>
      </c>
      <c r="E85" s="30">
        <f>P$15+($O$15*Table43[[#This Row],[Index]])</f>
        <v>7908.7338151159292</v>
      </c>
      <c r="F85" s="116">
        <f>VLOOKUP(Table43[[#This Row],[Mon/Yr]],sindex,2,FALSE)*Table43[[#This Row],[Trend Sales]]</f>
        <v>8660.4425740874904</v>
      </c>
      <c r="G85" s="116">
        <f>ABS(Table43[[#This Row],[Sales]]-Table43[[#This Row],[Seasonal Forecast with Trend]])</f>
        <v>177.44257408749036</v>
      </c>
      <c r="H85" s="116">
        <f>Table43[[#This Row],[Abs Error]]^2</f>
        <v>31485.867098794504</v>
      </c>
      <c r="I85" s="116">
        <f>ABS(Table43[[#This Row],[Sales]]-Table43[[#This Row],[Seasonal Forecast with Trend]])/Table43[[#This Row],[Sales]]</f>
        <v>2.0917431815099655E-2</v>
      </c>
    </row>
    <row r="86" spans="1:9" x14ac:dyDescent="0.3">
      <c r="A86" s="30">
        <v>72</v>
      </c>
      <c r="C86" s="117" t="s">
        <v>31</v>
      </c>
      <c r="D86" s="30">
        <v>9329</v>
      </c>
      <c r="E86" s="30">
        <f>P$15+($O$15*Table43[[#This Row],[Index]])</f>
        <v>7941.1710328214394</v>
      </c>
      <c r="F86" s="116">
        <f>VLOOKUP(Table43[[#This Row],[Mon/Yr]],sindex,2,FALSE)*Table43[[#This Row],[Trend Sales]]</f>
        <v>9405.8529811154367</v>
      </c>
      <c r="G86" s="116">
        <f>ABS(Table43[[#This Row],[Sales]]-Table43[[#This Row],[Seasonal Forecast with Trend]])</f>
        <v>76.852981115436705</v>
      </c>
      <c r="H86" s="116">
        <f>Table43[[#This Row],[Abs Error]]^2</f>
        <v>5906.3807063296708</v>
      </c>
      <c r="I86" s="116">
        <f>ABS(Table43[[#This Row],[Sales]]-Table43[[#This Row],[Seasonal Forecast with Trend]])/Table43[[#This Row],[Sales]]</f>
        <v>8.2380727961664391E-3</v>
      </c>
    </row>
    <row r="87" spans="1:9" x14ac:dyDescent="0.3">
      <c r="A87" s="30">
        <v>73</v>
      </c>
      <c r="B87" s="30">
        <v>2002</v>
      </c>
      <c r="C87" s="117" t="s">
        <v>20</v>
      </c>
      <c r="D87" s="30">
        <v>7120</v>
      </c>
      <c r="E87" s="30">
        <f>P$15+($O$15*Table43[[#This Row],[Index]])</f>
        <v>7973.6082505269496</v>
      </c>
      <c r="F87" s="116">
        <f>VLOOKUP(Table43[[#This Row],[Mon/Yr]],sindex,2,FALSE)*Table43[[#This Row],[Trend Sales]]</f>
        <v>7098.0066118515524</v>
      </c>
      <c r="G87" s="116">
        <f>ABS(Table43[[#This Row],[Sales]]-Table43[[#This Row],[Seasonal Forecast with Trend]])</f>
        <v>21.993388148447593</v>
      </c>
      <c r="H87" s="116">
        <f>Table43[[#This Row],[Abs Error]]^2</f>
        <v>483.70912224827504</v>
      </c>
      <c r="I87" s="116">
        <f>ABS(Table43[[#This Row],[Sales]]-Table43[[#This Row],[Seasonal Forecast with Trend]])/Table43[[#This Row],[Sales]]</f>
        <v>3.088959009613426E-3</v>
      </c>
    </row>
    <row r="88" spans="1:9" x14ac:dyDescent="0.3">
      <c r="A88" s="30">
        <v>74</v>
      </c>
      <c r="C88" s="117" t="s">
        <v>21</v>
      </c>
      <c r="D88" s="30">
        <v>7124</v>
      </c>
      <c r="E88" s="30">
        <f>P$15+($O$15*Table43[[#This Row],[Index]])</f>
        <v>8006.0454682324607</v>
      </c>
      <c r="F88" s="116">
        <f>VLOOKUP(Table43[[#This Row],[Mon/Yr]],sindex,2,FALSE)*Table43[[#This Row],[Trend Sales]]</f>
        <v>7122.5942779267652</v>
      </c>
      <c r="G88" s="116">
        <f>ABS(Table43[[#This Row],[Sales]]-Table43[[#This Row],[Seasonal Forecast with Trend]])</f>
        <v>1.405722073234756</v>
      </c>
      <c r="H88" s="116">
        <f>Table43[[#This Row],[Abs Error]]^2</f>
        <v>1.9760545471794206</v>
      </c>
      <c r="I88" s="116">
        <f>ABS(Table43[[#This Row],[Sales]]-Table43[[#This Row],[Seasonal Forecast with Trend]])/Table43[[#This Row],[Sales]]</f>
        <v>1.9732202038668669E-4</v>
      </c>
    </row>
    <row r="89" spans="1:9" x14ac:dyDescent="0.3">
      <c r="A89" s="30">
        <v>75</v>
      </c>
      <c r="C89" s="117" t="s">
        <v>22</v>
      </c>
      <c r="D89" s="30">
        <v>7817</v>
      </c>
      <c r="E89" s="30">
        <f>P$15+($O$15*Table43[[#This Row],[Index]])</f>
        <v>8038.4826859379709</v>
      </c>
      <c r="F89" s="116">
        <f>VLOOKUP(Table43[[#This Row],[Mon/Yr]],sindex,2,FALSE)*Table43[[#This Row],[Trend Sales]]</f>
        <v>7849.841282790152</v>
      </c>
      <c r="G89" s="116">
        <f>ABS(Table43[[#This Row],[Sales]]-Table43[[#This Row],[Seasonal Forecast with Trend]])</f>
        <v>32.841282790152036</v>
      </c>
      <c r="H89" s="116">
        <f>Table43[[#This Row],[Abs Error]]^2</f>
        <v>1078.5498553027362</v>
      </c>
      <c r="I89" s="116">
        <f>ABS(Table43[[#This Row],[Sales]]-Table43[[#This Row],[Seasonal Forecast with Trend]])/Table43[[#This Row],[Sales]]</f>
        <v>4.2012642689205626E-3</v>
      </c>
    </row>
    <row r="90" spans="1:9" x14ac:dyDescent="0.3">
      <c r="A90" s="30">
        <v>76</v>
      </c>
      <c r="C90" s="117" t="s">
        <v>23</v>
      </c>
      <c r="D90" s="30">
        <v>7538</v>
      </c>
      <c r="E90" s="30">
        <f>P$15+($O$15*Table43[[#This Row],[Index]])</f>
        <v>8070.9199036434811</v>
      </c>
      <c r="F90" s="116">
        <f>VLOOKUP(Table43[[#This Row],[Mon/Yr]],sindex,2,FALSE)*Table43[[#This Row],[Trend Sales]]</f>
        <v>7648.1139907485667</v>
      </c>
      <c r="G90" s="116">
        <f>ABS(Table43[[#This Row],[Sales]]-Table43[[#This Row],[Seasonal Forecast with Trend]])</f>
        <v>110.11399074856672</v>
      </c>
      <c r="H90" s="116">
        <f>Table43[[#This Row],[Abs Error]]^2</f>
        <v>12125.090958575438</v>
      </c>
      <c r="I90" s="116">
        <f>ABS(Table43[[#This Row],[Sales]]-Table43[[#This Row],[Seasonal Forecast with Trend]])/Table43[[#This Row],[Sales]]</f>
        <v>1.4607852314747509E-2</v>
      </c>
    </row>
    <row r="91" spans="1:9" x14ac:dyDescent="0.3">
      <c r="A91" s="30">
        <v>77</v>
      </c>
      <c r="C91" s="117" t="s">
        <v>24</v>
      </c>
      <c r="D91" s="30">
        <v>7921</v>
      </c>
      <c r="E91" s="30">
        <f>P$15+($O$15*Table43[[#This Row],[Index]])</f>
        <v>8103.3571213489922</v>
      </c>
      <c r="F91" s="116">
        <f>VLOOKUP(Table43[[#This Row],[Mon/Yr]],sindex,2,FALSE)*Table43[[#This Row],[Trend Sales]]</f>
        <v>8069.7546769522833</v>
      </c>
      <c r="G91" s="116">
        <f>ABS(Table43[[#This Row],[Sales]]-Table43[[#This Row],[Seasonal Forecast with Trend]])</f>
        <v>148.75467695228326</v>
      </c>
      <c r="H91" s="116">
        <f>Table43[[#This Row],[Abs Error]]^2</f>
        <v>22127.953915178154</v>
      </c>
      <c r="I91" s="116">
        <f>ABS(Table43[[#This Row],[Sales]]-Table43[[#This Row],[Seasonal Forecast with Trend]])/Table43[[#This Row],[Sales]]</f>
        <v>1.877978499586962E-2</v>
      </c>
    </row>
    <row r="92" spans="1:9" x14ac:dyDescent="0.3">
      <c r="A92" s="30">
        <v>78</v>
      </c>
      <c r="C92" s="117" t="s">
        <v>25</v>
      </c>
      <c r="D92" s="30">
        <v>7757</v>
      </c>
      <c r="E92" s="30">
        <f>P$15+($O$15*Table43[[#This Row],[Index]])</f>
        <v>8135.7943390545024</v>
      </c>
      <c r="F92" s="116">
        <f>VLOOKUP(Table43[[#This Row],[Mon/Yr]],sindex,2,FALSE)*Table43[[#This Row],[Trend Sales]]</f>
        <v>8007.3758601463815</v>
      </c>
      <c r="G92" s="116">
        <f>ABS(Table43[[#This Row],[Sales]]-Table43[[#This Row],[Seasonal Forecast with Trend]])</f>
        <v>250.37586014638146</v>
      </c>
      <c r="H92" s="116">
        <f>Table43[[#This Row],[Abs Error]]^2</f>
        <v>62688.071344040363</v>
      </c>
      <c r="I92" s="116">
        <f>ABS(Table43[[#This Row],[Sales]]-Table43[[#This Row],[Seasonal Forecast with Trend]])/Table43[[#This Row],[Sales]]</f>
        <v>3.2277408810929671E-2</v>
      </c>
    </row>
    <row r="93" spans="1:9" x14ac:dyDescent="0.3">
      <c r="A93" s="30">
        <v>79</v>
      </c>
      <c r="C93" s="117" t="s">
        <v>26</v>
      </c>
      <c r="D93" s="30">
        <v>7816</v>
      </c>
      <c r="E93" s="30">
        <f>P$15+($O$15*Table43[[#This Row],[Index]])</f>
        <v>8168.2315567600126</v>
      </c>
      <c r="F93" s="116">
        <f>VLOOKUP(Table43[[#This Row],[Mon/Yr]],sindex,2,FALSE)*Table43[[#This Row],[Trend Sales]]</f>
        <v>8191.0590148518322</v>
      </c>
      <c r="G93" s="116">
        <f>ABS(Table43[[#This Row],[Sales]]-Table43[[#This Row],[Seasonal Forecast with Trend]])</f>
        <v>375.05901485183222</v>
      </c>
      <c r="H93" s="116">
        <f>Table43[[#This Row],[Abs Error]]^2</f>
        <v>140669.26462162691</v>
      </c>
      <c r="I93" s="116">
        <f>ABS(Table43[[#This Row],[Sales]]-Table43[[#This Row],[Seasonal Forecast with Trend]])/Table43[[#This Row],[Sales]]</f>
        <v>4.7986056147880277E-2</v>
      </c>
    </row>
    <row r="94" spans="1:9" x14ac:dyDescent="0.3">
      <c r="A94" s="30">
        <v>80</v>
      </c>
      <c r="C94" s="117" t="s">
        <v>27</v>
      </c>
      <c r="D94" s="30">
        <v>8208</v>
      </c>
      <c r="E94" s="30">
        <f>P$15+($O$15*Table43[[#This Row],[Index]])</f>
        <v>8200.6687744655228</v>
      </c>
      <c r="F94" s="116">
        <f>VLOOKUP(Table43[[#This Row],[Mon/Yr]],sindex,2,FALSE)*Table43[[#This Row],[Trend Sales]]</f>
        <v>8599.4209355514067</v>
      </c>
      <c r="G94" s="116">
        <f>ABS(Table43[[#This Row],[Sales]]-Table43[[#This Row],[Seasonal Forecast with Trend]])</f>
        <v>391.42093555140673</v>
      </c>
      <c r="H94" s="116">
        <f>Table43[[#This Row],[Abs Error]]^2</f>
        <v>153210.34878793851</v>
      </c>
      <c r="I94" s="116">
        <f>ABS(Table43[[#This Row],[Sales]]-Table43[[#This Row],[Seasonal Forecast with Trend]])/Table43[[#This Row],[Sales]]</f>
        <v>4.7687735812793217E-2</v>
      </c>
    </row>
    <row r="95" spans="1:9" x14ac:dyDescent="0.3">
      <c r="A95" s="30">
        <v>81</v>
      </c>
      <c r="C95" s="117" t="s">
        <v>28</v>
      </c>
      <c r="D95" s="30">
        <v>7828</v>
      </c>
      <c r="E95" s="30">
        <f>P$15+($O$15*Table43[[#This Row],[Index]])</f>
        <v>8233.105992171033</v>
      </c>
      <c r="F95" s="116">
        <f>VLOOKUP(Table43[[#This Row],[Mon/Yr]],sindex,2,FALSE)*Table43[[#This Row],[Trend Sales]]</f>
        <v>8272.3946542161411</v>
      </c>
      <c r="G95" s="116">
        <f>ABS(Table43[[#This Row],[Sales]]-Table43[[#This Row],[Seasonal Forecast with Trend]])</f>
        <v>444.39465421614113</v>
      </c>
      <c r="H95" s="116">
        <f>Table43[[#This Row],[Abs Error]]^2</f>
        <v>197486.60869588365</v>
      </c>
      <c r="I95" s="116">
        <f>ABS(Table43[[#This Row],[Sales]]-Table43[[#This Row],[Seasonal Forecast with Trend]])/Table43[[#This Row],[Sales]]</f>
        <v>5.6769884289236218E-2</v>
      </c>
    </row>
    <row r="96" spans="1:9" x14ac:dyDescent="0.3">
      <c r="A96" s="30">
        <v>82</v>
      </c>
      <c r="C96" s="117" t="s">
        <v>29</v>
      </c>
      <c r="E96" s="30">
        <f>P$15+($O$15*Table43[[#This Row],[Index]])</f>
        <v>8265.5432098765432</v>
      </c>
      <c r="F96" s="116">
        <f>VLOOKUP(Table43[[#This Row],[Mon/Yr]],sindex,2,FALSE)*Table43[[#This Row],[Trend Sales]]</f>
        <v>8460.2550637699478</v>
      </c>
      <c r="G96" s="116">
        <f>SUM(G15:G95)</f>
        <v>11277.376387513848</v>
      </c>
      <c r="H96" s="116">
        <f>SUM(H15:H95)</f>
        <v>2942720.2079615411</v>
      </c>
      <c r="I96" s="116">
        <f>SUM(I15:I95)</f>
        <v>1.5494967629396803</v>
      </c>
    </row>
    <row r="97" spans="1:9" x14ac:dyDescent="0.3">
      <c r="A97" s="30">
        <v>83</v>
      </c>
      <c r="C97" s="117" t="s">
        <v>30</v>
      </c>
      <c r="E97" s="30">
        <f>P$15+($O$15*Table43[[#This Row],[Index]])</f>
        <v>8297.9804275820534</v>
      </c>
      <c r="F97" s="116">
        <f>VLOOKUP(Table43[[#This Row],[Mon/Yr]],sindex,2,FALSE)*Table43[[#This Row],[Trend Sales]]</f>
        <v>9086.6862703891511</v>
      </c>
      <c r="G97" s="116"/>
      <c r="H97" s="116"/>
      <c r="I97" s="116"/>
    </row>
    <row r="98" spans="1:9" x14ac:dyDescent="0.3">
      <c r="A98" s="30">
        <v>84</v>
      </c>
      <c r="C98" s="117" t="s">
        <v>31</v>
      </c>
      <c r="E98" s="30">
        <f>P$15+($O$15*Table43[[#This Row],[Index]])</f>
        <v>8330.4176452875654</v>
      </c>
      <c r="F98" s="116">
        <f>VLOOKUP(Table43[[#This Row],[Mon/Yr]],sindex,2,FALSE)*Table43[[#This Row],[Trend Sales]]</f>
        <v>9866.892844773025</v>
      </c>
      <c r="G98" s="116"/>
      <c r="H98" s="116"/>
      <c r="I98" s="116"/>
    </row>
    <row r="99" spans="1:9" x14ac:dyDescent="0.3">
      <c r="F99" s="116"/>
      <c r="G99" s="116"/>
      <c r="H99" s="116"/>
    </row>
  </sheetData>
  <mergeCells count="1">
    <mergeCell ref="A10:P12"/>
  </mergeCells>
  <pageMargins left="0.7" right="0.7" top="0.75" bottom="0.75" header="0.3" footer="0.3"/>
  <pageSetup orientation="portrait"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42E2D-AE91-4EC0-A5D8-74744747ACD7}">
  <dimension ref="A1:T113"/>
  <sheetViews>
    <sheetView topLeftCell="C16" zoomScale="115" zoomScaleNormal="115" workbookViewId="0">
      <selection activeCell="G18" sqref="G18"/>
    </sheetView>
  </sheetViews>
  <sheetFormatPr defaultRowHeight="14.4" x14ac:dyDescent="0.3"/>
  <cols>
    <col min="1" max="1" width="5.88671875" style="140" customWidth="1"/>
    <col min="2" max="2" width="7.5546875" style="140" bestFit="1" customWidth="1"/>
    <col min="3" max="3" width="9.77734375" style="140" bestFit="1" customWidth="1"/>
    <col min="4" max="4" width="12" style="140" bestFit="1" customWidth="1"/>
    <col min="5" max="5" width="13.6640625" style="140" customWidth="1"/>
    <col min="6" max="6" width="12.44140625" style="140" customWidth="1"/>
    <col min="7" max="7" width="7.21875" style="150" bestFit="1" customWidth="1"/>
    <col min="8" max="8" width="8.33203125" style="140" customWidth="1"/>
    <col min="9" max="9" width="9.33203125" style="140" customWidth="1"/>
    <col min="10" max="10" width="10.33203125" style="140" bestFit="1" customWidth="1"/>
    <col min="11" max="11" width="7.77734375" style="140" bestFit="1" customWidth="1"/>
    <col min="12" max="12" width="9.88671875" style="140" bestFit="1" customWidth="1"/>
    <col min="13" max="14" width="12" style="140" bestFit="1" customWidth="1"/>
    <col min="15" max="15" width="14.77734375" style="140" customWidth="1"/>
    <col min="16" max="16" width="11" style="140" bestFit="1" customWidth="1"/>
    <col min="17" max="17" width="11.77734375" style="140" customWidth="1"/>
    <col min="18" max="18" width="8.6640625" style="140" bestFit="1" customWidth="1"/>
    <col min="19" max="19" width="10.5546875" style="140" bestFit="1" customWidth="1"/>
    <col min="20" max="20" width="16.109375" style="140" customWidth="1"/>
    <col min="21" max="16384" width="8.88671875" style="140"/>
  </cols>
  <sheetData>
    <row r="1" spans="1:20" s="145" customFormat="1" ht="18.600000000000001" customHeight="1" x14ac:dyDescent="0.3">
      <c r="A1" s="170" t="s">
        <v>32</v>
      </c>
      <c r="B1" s="171" t="s">
        <v>20</v>
      </c>
      <c r="C1" s="171" t="s">
        <v>21</v>
      </c>
      <c r="D1" s="171" t="s">
        <v>22</v>
      </c>
      <c r="E1" s="171" t="s">
        <v>23</v>
      </c>
      <c r="F1" s="171" t="s">
        <v>24</v>
      </c>
      <c r="G1" s="172" t="s">
        <v>25</v>
      </c>
      <c r="H1" s="171" t="s">
        <v>26</v>
      </c>
      <c r="I1" s="171" t="s">
        <v>27</v>
      </c>
      <c r="J1" s="171" t="s">
        <v>28</v>
      </c>
      <c r="K1" s="171" t="s">
        <v>29</v>
      </c>
      <c r="L1" s="171" t="s">
        <v>30</v>
      </c>
      <c r="M1" s="173" t="s">
        <v>31</v>
      </c>
      <c r="N1" s="141"/>
      <c r="O1" s="141"/>
      <c r="P1" s="141"/>
      <c r="Q1" s="141"/>
      <c r="R1" s="141"/>
      <c r="S1" s="141"/>
      <c r="T1" s="141"/>
    </row>
    <row r="2" spans="1:20" x14ac:dyDescent="0.3">
      <c r="A2" s="174">
        <v>1996</v>
      </c>
      <c r="B2" s="175">
        <v>4964</v>
      </c>
      <c r="C2" s="175">
        <v>4968</v>
      </c>
      <c r="D2" s="175">
        <v>5601</v>
      </c>
      <c r="E2" s="175">
        <v>5454</v>
      </c>
      <c r="F2" s="175">
        <v>5721</v>
      </c>
      <c r="G2" s="176">
        <v>5690</v>
      </c>
      <c r="H2" s="175">
        <v>5804</v>
      </c>
      <c r="I2" s="175">
        <v>6040</v>
      </c>
      <c r="J2" s="175">
        <v>5843</v>
      </c>
      <c r="K2" s="175">
        <v>6087</v>
      </c>
      <c r="L2" s="175">
        <v>6469</v>
      </c>
      <c r="M2" s="177">
        <v>7002</v>
      </c>
      <c r="N2" s="143"/>
      <c r="O2" s="142"/>
      <c r="P2" s="142"/>
      <c r="Q2" s="144"/>
      <c r="R2" s="144"/>
      <c r="S2" s="144"/>
      <c r="T2" s="144"/>
    </row>
    <row r="3" spans="1:20" x14ac:dyDescent="0.3">
      <c r="A3" s="174">
        <v>1997</v>
      </c>
      <c r="B3" s="175">
        <v>5416</v>
      </c>
      <c r="C3" s="175">
        <v>5393</v>
      </c>
      <c r="D3" s="175">
        <v>5907</v>
      </c>
      <c r="E3" s="175">
        <v>5768</v>
      </c>
      <c r="F3" s="175">
        <v>6107</v>
      </c>
      <c r="G3" s="176">
        <v>6016</v>
      </c>
      <c r="H3" s="175">
        <v>6131</v>
      </c>
      <c r="I3" s="175">
        <v>6499</v>
      </c>
      <c r="J3" s="175">
        <v>6249</v>
      </c>
      <c r="K3" s="175">
        <v>6472</v>
      </c>
      <c r="L3" s="175">
        <v>6946</v>
      </c>
      <c r="M3" s="177">
        <v>7615</v>
      </c>
      <c r="N3" s="143"/>
      <c r="O3" s="142"/>
      <c r="P3" s="142"/>
      <c r="Q3" s="144"/>
      <c r="R3" s="144"/>
      <c r="S3" s="144"/>
      <c r="T3" s="144"/>
    </row>
    <row r="4" spans="1:20" x14ac:dyDescent="0.3">
      <c r="A4" s="174">
        <v>1998</v>
      </c>
      <c r="B4" s="175">
        <v>5876</v>
      </c>
      <c r="C4" s="175">
        <v>5818</v>
      </c>
      <c r="D4" s="175">
        <v>6342</v>
      </c>
      <c r="E4" s="175">
        <v>6143</v>
      </c>
      <c r="F4" s="175">
        <v>6442</v>
      </c>
      <c r="G4" s="176">
        <v>6407</v>
      </c>
      <c r="H4" s="175">
        <v>6545</v>
      </c>
      <c r="I4" s="175">
        <v>6758</v>
      </c>
      <c r="J4" s="175">
        <v>6485</v>
      </c>
      <c r="K4" s="175">
        <v>6805</v>
      </c>
      <c r="L4" s="175">
        <v>7361</v>
      </c>
      <c r="M4" s="177">
        <v>8079</v>
      </c>
      <c r="N4" s="143"/>
      <c r="O4" s="142"/>
      <c r="P4" s="142"/>
      <c r="Q4" s="144"/>
      <c r="R4" s="144"/>
      <c r="S4" s="144"/>
      <c r="T4" s="144"/>
    </row>
    <row r="5" spans="1:20" x14ac:dyDescent="0.3">
      <c r="A5" s="174">
        <v>1999</v>
      </c>
      <c r="B5" s="175">
        <v>6061</v>
      </c>
      <c r="C5" s="175">
        <v>6187</v>
      </c>
      <c r="D5" s="175">
        <v>6792</v>
      </c>
      <c r="E5" s="175">
        <v>6587</v>
      </c>
      <c r="F5" s="175">
        <v>6918</v>
      </c>
      <c r="G5" s="176">
        <v>6920</v>
      </c>
      <c r="H5" s="175">
        <v>7030</v>
      </c>
      <c r="I5" s="175">
        <v>7491</v>
      </c>
      <c r="J5" s="175">
        <v>7305</v>
      </c>
      <c r="K5" s="175">
        <v>7571</v>
      </c>
      <c r="L5" s="175">
        <v>8013</v>
      </c>
      <c r="M5" s="177">
        <v>8727</v>
      </c>
      <c r="N5" s="143"/>
      <c r="O5" s="142"/>
      <c r="P5" s="142"/>
      <c r="Q5" s="144"/>
      <c r="R5" s="144"/>
      <c r="S5" s="144"/>
      <c r="T5" s="144"/>
    </row>
    <row r="6" spans="1:20" x14ac:dyDescent="0.3">
      <c r="A6" s="174">
        <v>2000</v>
      </c>
      <c r="B6" s="175">
        <v>6776</v>
      </c>
      <c r="C6" s="175">
        <v>6847</v>
      </c>
      <c r="D6" s="175">
        <v>7531</v>
      </c>
      <c r="E6" s="175">
        <v>7333</v>
      </c>
      <c r="F6" s="175">
        <v>7685</v>
      </c>
      <c r="G6" s="176">
        <v>7518</v>
      </c>
      <c r="H6" s="175">
        <v>7672</v>
      </c>
      <c r="I6" s="175">
        <v>7992</v>
      </c>
      <c r="J6" s="175">
        <v>7645</v>
      </c>
      <c r="K6" s="175">
        <v>7923</v>
      </c>
      <c r="L6" s="175">
        <v>8297</v>
      </c>
      <c r="M6" s="177">
        <v>8537</v>
      </c>
      <c r="N6" s="143"/>
      <c r="O6" s="142"/>
      <c r="P6" s="142"/>
      <c r="Q6" s="144"/>
      <c r="R6" s="144"/>
      <c r="S6" s="144"/>
      <c r="T6" s="144"/>
    </row>
    <row r="7" spans="1:20" x14ac:dyDescent="0.3">
      <c r="A7" s="174">
        <v>2001</v>
      </c>
      <c r="B7" s="175">
        <v>7005</v>
      </c>
      <c r="C7" s="175">
        <v>6855</v>
      </c>
      <c r="D7" s="175">
        <v>7420</v>
      </c>
      <c r="E7" s="175">
        <v>7183</v>
      </c>
      <c r="F7" s="175">
        <v>7554</v>
      </c>
      <c r="G7" s="176">
        <v>7475</v>
      </c>
      <c r="H7" s="175">
        <v>7687</v>
      </c>
      <c r="I7" s="175">
        <v>7922</v>
      </c>
      <c r="J7" s="175">
        <v>7426</v>
      </c>
      <c r="K7" s="175">
        <v>7736</v>
      </c>
      <c r="L7" s="175">
        <v>8483</v>
      </c>
      <c r="M7" s="177">
        <v>9329</v>
      </c>
      <c r="N7" s="143"/>
      <c r="O7" s="142"/>
      <c r="P7" s="142"/>
      <c r="Q7" s="144"/>
      <c r="R7" s="144"/>
      <c r="S7" s="144"/>
      <c r="T7" s="144"/>
    </row>
    <row r="8" spans="1:20" x14ac:dyDescent="0.3">
      <c r="A8" s="174">
        <v>2002</v>
      </c>
      <c r="B8" s="175">
        <v>7120</v>
      </c>
      <c r="C8" s="175">
        <v>7124</v>
      </c>
      <c r="D8" s="175">
        <v>7817</v>
      </c>
      <c r="E8" s="175">
        <v>7538</v>
      </c>
      <c r="F8" s="175">
        <v>7921</v>
      </c>
      <c r="G8" s="176">
        <v>7757</v>
      </c>
      <c r="H8" s="175">
        <v>7816</v>
      </c>
      <c r="I8" s="175">
        <v>8208</v>
      </c>
      <c r="J8" s="175">
        <v>7828</v>
      </c>
      <c r="K8" s="175"/>
      <c r="L8" s="175"/>
      <c r="M8" s="177"/>
      <c r="N8" s="143"/>
      <c r="O8" s="142"/>
      <c r="P8" s="142"/>
      <c r="Q8" s="144"/>
      <c r="R8" s="144"/>
      <c r="S8" s="144"/>
      <c r="T8" s="144"/>
    </row>
    <row r="9" spans="1:20" x14ac:dyDescent="0.3">
      <c r="A9" s="178" t="s">
        <v>46</v>
      </c>
      <c r="B9" s="179">
        <f>SUM(B2:B7)</f>
        <v>36098</v>
      </c>
      <c r="C9" s="179">
        <f t="shared" ref="C9:M9" si="0">SUM(C2:C7)</f>
        <v>36068</v>
      </c>
      <c r="D9" s="179">
        <f t="shared" si="0"/>
        <v>39593</v>
      </c>
      <c r="E9" s="179">
        <f t="shared" si="0"/>
        <v>38468</v>
      </c>
      <c r="F9" s="179">
        <f t="shared" si="0"/>
        <v>40427</v>
      </c>
      <c r="G9" s="180">
        <f t="shared" si="0"/>
        <v>40026</v>
      </c>
      <c r="H9" s="179">
        <f t="shared" si="0"/>
        <v>40869</v>
      </c>
      <c r="I9" s="179">
        <f t="shared" si="0"/>
        <v>42702</v>
      </c>
      <c r="J9" s="179">
        <f t="shared" si="0"/>
        <v>40953</v>
      </c>
      <c r="K9" s="179">
        <f t="shared" si="0"/>
        <v>42594</v>
      </c>
      <c r="L9" s="179">
        <f t="shared" si="0"/>
        <v>45569</v>
      </c>
      <c r="M9" s="181">
        <f t="shared" si="0"/>
        <v>49289</v>
      </c>
      <c r="N9" s="143"/>
      <c r="O9" s="142"/>
      <c r="P9" s="142"/>
      <c r="Q9" s="144"/>
      <c r="R9" s="144"/>
      <c r="S9" s="144"/>
      <c r="T9" s="144"/>
    </row>
    <row r="10" spans="1:20" x14ac:dyDescent="0.3">
      <c r="A10" s="178" t="s">
        <v>47</v>
      </c>
      <c r="B10" s="179">
        <f>AVERAGE(B2:B7)</f>
        <v>6016.333333333333</v>
      </c>
      <c r="C10" s="179">
        <f t="shared" ref="C10:M10" si="1">AVERAGE(C2:C7)</f>
        <v>6011.333333333333</v>
      </c>
      <c r="D10" s="179">
        <f t="shared" si="1"/>
        <v>6598.833333333333</v>
      </c>
      <c r="E10" s="179">
        <f t="shared" si="1"/>
        <v>6411.333333333333</v>
      </c>
      <c r="F10" s="179">
        <f t="shared" si="1"/>
        <v>6737.833333333333</v>
      </c>
      <c r="G10" s="180">
        <f t="shared" si="1"/>
        <v>6671</v>
      </c>
      <c r="H10" s="179">
        <f t="shared" si="1"/>
        <v>6811.5</v>
      </c>
      <c r="I10" s="179">
        <f t="shared" si="1"/>
        <v>7117</v>
      </c>
      <c r="J10" s="179">
        <f t="shared" si="1"/>
        <v>6825.5</v>
      </c>
      <c r="K10" s="179">
        <f t="shared" si="1"/>
        <v>7099</v>
      </c>
      <c r="L10" s="179">
        <f t="shared" si="1"/>
        <v>7594.833333333333</v>
      </c>
      <c r="M10" s="181">
        <f t="shared" si="1"/>
        <v>8214.8333333333339</v>
      </c>
      <c r="N10" s="143"/>
      <c r="O10" s="142"/>
      <c r="P10" s="146" t="s">
        <v>91</v>
      </c>
      <c r="Q10" s="147">
        <f>AVERAGE(Table2_224[[#This Row],[January]:[December]])</f>
        <v>6842.4444444444425</v>
      </c>
      <c r="R10" s="144"/>
      <c r="S10" s="144"/>
      <c r="T10" s="144"/>
    </row>
    <row r="11" spans="1:20" x14ac:dyDescent="0.3">
      <c r="A11" s="182" t="s">
        <v>92</v>
      </c>
      <c r="B11" s="183">
        <f>B10-$Q$10</f>
        <v>-826.11111111110949</v>
      </c>
      <c r="C11" s="183">
        <f t="shared" ref="C11:M11" si="2">C10-$Q$10</f>
        <v>-831.11111111110949</v>
      </c>
      <c r="D11" s="183">
        <f t="shared" si="2"/>
        <v>-243.61111111110949</v>
      </c>
      <c r="E11" s="183">
        <f t="shared" si="2"/>
        <v>-431.11111111110949</v>
      </c>
      <c r="F11" s="183">
        <f t="shared" si="2"/>
        <v>-104.61111111110949</v>
      </c>
      <c r="G11" s="184">
        <f t="shared" si="2"/>
        <v>-171.44444444444252</v>
      </c>
      <c r="H11" s="183">
        <f t="shared" si="2"/>
        <v>-30.944444444442524</v>
      </c>
      <c r="I11" s="183">
        <f t="shared" si="2"/>
        <v>274.55555555555748</v>
      </c>
      <c r="J11" s="183">
        <f t="shared" si="2"/>
        <v>-16.944444444442524</v>
      </c>
      <c r="K11" s="183">
        <f t="shared" si="2"/>
        <v>256.55555555555748</v>
      </c>
      <c r="L11" s="183">
        <f t="shared" si="2"/>
        <v>752.38888888889051</v>
      </c>
      <c r="M11" s="185">
        <f t="shared" si="2"/>
        <v>1372.3888888888914</v>
      </c>
      <c r="N11" s="143"/>
      <c r="O11" s="142"/>
      <c r="P11" s="142"/>
      <c r="Q11" s="144"/>
      <c r="R11" s="144"/>
      <c r="S11" s="144"/>
      <c r="T11" s="144"/>
    </row>
    <row r="12" spans="1:20" ht="14.4" customHeight="1" x14ac:dyDescent="0.3">
      <c r="A12" s="280" t="s">
        <v>42</v>
      </c>
      <c r="B12" s="280"/>
      <c r="C12" s="280"/>
      <c r="D12" s="280"/>
      <c r="E12" s="280"/>
      <c r="F12" s="280"/>
      <c r="G12" s="280"/>
      <c r="H12" s="280"/>
      <c r="I12" s="280"/>
      <c r="J12" s="280"/>
      <c r="K12" s="280"/>
      <c r="L12" s="280"/>
      <c r="M12" s="280"/>
      <c r="N12" s="280"/>
      <c r="O12" s="280"/>
      <c r="P12" s="281"/>
      <c r="Q12" s="144"/>
      <c r="R12" s="144"/>
      <c r="S12" s="144"/>
      <c r="T12" s="144"/>
    </row>
    <row r="13" spans="1:20" x14ac:dyDescent="0.3">
      <c r="A13" s="280"/>
      <c r="B13" s="280"/>
      <c r="C13" s="280"/>
      <c r="D13" s="280"/>
      <c r="E13" s="280"/>
      <c r="F13" s="280"/>
      <c r="G13" s="280"/>
      <c r="H13" s="280"/>
      <c r="I13" s="280"/>
      <c r="J13" s="280"/>
      <c r="K13" s="280"/>
      <c r="L13" s="280"/>
      <c r="M13" s="280"/>
      <c r="N13" s="280"/>
      <c r="O13" s="280"/>
      <c r="P13" s="281"/>
      <c r="Q13" s="144"/>
      <c r="R13" s="144"/>
      <c r="S13" s="144"/>
      <c r="T13" s="144"/>
    </row>
    <row r="14" spans="1:20" ht="150.6" customHeight="1" x14ac:dyDescent="0.3">
      <c r="A14" s="282"/>
      <c r="B14" s="282"/>
      <c r="C14" s="282"/>
      <c r="D14" s="282"/>
      <c r="E14" s="282"/>
      <c r="F14" s="282"/>
      <c r="G14" s="282"/>
      <c r="H14" s="282"/>
      <c r="I14" s="282"/>
      <c r="J14" s="282"/>
      <c r="K14" s="282"/>
      <c r="L14" s="282"/>
      <c r="M14" s="282"/>
      <c r="N14" s="282"/>
      <c r="O14" s="282"/>
      <c r="P14" s="283"/>
      <c r="Q14" s="144"/>
      <c r="R14" s="144"/>
      <c r="S14" s="144"/>
      <c r="T14" s="144"/>
    </row>
    <row r="15" spans="1:20" x14ac:dyDescent="0.3">
      <c r="L15" s="142"/>
      <c r="M15" s="142"/>
      <c r="N15" s="143"/>
      <c r="O15" s="142"/>
      <c r="P15" s="142"/>
      <c r="Q15" s="144"/>
      <c r="R15" s="144"/>
      <c r="S15" s="144"/>
      <c r="T15" s="144"/>
    </row>
    <row r="16" spans="1:20" x14ac:dyDescent="0.3">
      <c r="L16" s="142"/>
      <c r="M16" s="142"/>
      <c r="N16" s="143"/>
      <c r="O16" s="142"/>
      <c r="P16" s="142"/>
      <c r="Q16" s="144"/>
      <c r="R16" s="144"/>
      <c r="S16" s="144"/>
      <c r="T16" s="144"/>
    </row>
    <row r="17" spans="1:20" ht="45.6" thickBot="1" x14ac:dyDescent="0.4">
      <c r="A17" s="139" t="s">
        <v>89</v>
      </c>
      <c r="B17" s="138" t="s">
        <v>32</v>
      </c>
      <c r="C17" s="138" t="s">
        <v>33</v>
      </c>
      <c r="D17" s="169" t="s">
        <v>101</v>
      </c>
      <c r="E17" s="138" t="s">
        <v>90</v>
      </c>
      <c r="F17" s="138" t="s">
        <v>93</v>
      </c>
      <c r="G17" s="151" t="s">
        <v>94</v>
      </c>
      <c r="H17" s="138" t="s">
        <v>100</v>
      </c>
      <c r="I17" s="169" t="s">
        <v>105</v>
      </c>
      <c r="J17" s="138" t="s">
        <v>102</v>
      </c>
      <c r="K17" s="138" t="s">
        <v>103</v>
      </c>
      <c r="L17" s="138" t="s">
        <v>104</v>
      </c>
      <c r="M17" s="153"/>
      <c r="N17" s="154"/>
      <c r="O17" s="142"/>
      <c r="P17" s="142"/>
      <c r="Q17" s="144"/>
      <c r="R17" s="144"/>
      <c r="S17" s="144"/>
      <c r="T17" s="144"/>
    </row>
    <row r="18" spans="1:20" ht="15" thickTop="1" x14ac:dyDescent="0.3">
      <c r="A18" s="133">
        <v>1</v>
      </c>
      <c r="B18" s="134">
        <v>1996</v>
      </c>
      <c r="C18" s="135" t="s">
        <v>20</v>
      </c>
      <c r="D18" s="134">
        <v>4964</v>
      </c>
      <c r="G18" s="150">
        <f>G19-$O$33</f>
        <v>5644.1050724637671</v>
      </c>
      <c r="H18" s="140">
        <v>-826.11111111110949</v>
      </c>
      <c r="I18" s="140">
        <f t="shared" ref="I18:I23" si="3">G18+H18</f>
        <v>4817.9939613526576</v>
      </c>
      <c r="J18" s="140">
        <f>ABS(D18-I18)</f>
        <v>146.00603864734239</v>
      </c>
      <c r="K18" s="140">
        <f>J18^2</f>
        <v>21317.763321489241</v>
      </c>
      <c r="L18" s="186">
        <f>J18/D18</f>
        <v>2.9412981194065751E-2</v>
      </c>
      <c r="M18" s="188" t="s">
        <v>81</v>
      </c>
      <c r="N18" s="189" t="s">
        <v>80</v>
      </c>
      <c r="O18" s="152"/>
      <c r="P18" s="142"/>
      <c r="Q18" s="144"/>
      <c r="R18" s="144"/>
      <c r="S18" s="144"/>
      <c r="T18" s="144"/>
    </row>
    <row r="19" spans="1:20" ht="15" thickBot="1" x14ac:dyDescent="0.35">
      <c r="A19" s="136">
        <v>2</v>
      </c>
      <c r="B19" s="137"/>
      <c r="C19" s="135" t="s">
        <v>21</v>
      </c>
      <c r="D19" s="137">
        <v>4968</v>
      </c>
      <c r="G19" s="150">
        <f t="shared" ref="G18:G23" si="4">G20-$O$33</f>
        <v>5673.8236714975837</v>
      </c>
      <c r="H19" s="140">
        <v>-831.11111111110949</v>
      </c>
      <c r="I19" s="140">
        <f t="shared" si="3"/>
        <v>4842.7125603864743</v>
      </c>
      <c r="J19" s="140">
        <f t="shared" ref="J19:J82" si="5">ABS(D19-I19)</f>
        <v>125.28743961352575</v>
      </c>
      <c r="K19" s="140">
        <f t="shared" ref="K19:K82" si="6">J19^2</f>
        <v>15696.942524912862</v>
      </c>
      <c r="L19" s="186">
        <f t="shared" ref="L19:L82" si="7">J19/D19</f>
        <v>2.5218888811096164E-2</v>
      </c>
      <c r="M19" s="187" cm="1">
        <f t="array" ref="M19:N19">LINEST(G18:G101)</f>
        <v>31.235429649422201</v>
      </c>
      <c r="N19" s="162">
        <v>5674.5854666076311</v>
      </c>
      <c r="O19" s="152"/>
      <c r="P19" s="142"/>
      <c r="Q19" s="144"/>
      <c r="R19" s="144"/>
      <c r="S19" s="144"/>
      <c r="T19" s="144"/>
    </row>
    <row r="20" spans="1:20" x14ac:dyDescent="0.3">
      <c r="A20" s="133">
        <v>3</v>
      </c>
      <c r="B20" s="134"/>
      <c r="C20" s="135" t="s">
        <v>22</v>
      </c>
      <c r="D20" s="134">
        <v>5601</v>
      </c>
      <c r="G20" s="150">
        <f t="shared" si="4"/>
        <v>5703.5422705314004</v>
      </c>
      <c r="H20" s="140">
        <v>-243.61111111110949</v>
      </c>
      <c r="I20" s="140">
        <f t="shared" si="3"/>
        <v>5459.9311594202909</v>
      </c>
      <c r="J20" s="140">
        <f t="shared" si="5"/>
        <v>141.0688405797091</v>
      </c>
      <c r="K20" s="140">
        <f t="shared" si="6"/>
        <v>19900.41778250338</v>
      </c>
      <c r="L20" s="142">
        <f t="shared" si="7"/>
        <v>2.5186366823729531E-2</v>
      </c>
      <c r="M20" s="155"/>
      <c r="N20" s="156"/>
      <c r="O20" s="142"/>
      <c r="P20" s="142"/>
      <c r="Q20" s="144"/>
      <c r="R20" s="144"/>
      <c r="S20" s="144"/>
      <c r="T20" s="144"/>
    </row>
    <row r="21" spans="1:20" x14ac:dyDescent="0.3">
      <c r="A21" s="136">
        <v>4</v>
      </c>
      <c r="B21" s="137"/>
      <c r="C21" s="135" t="s">
        <v>23</v>
      </c>
      <c r="D21" s="137">
        <v>5454</v>
      </c>
      <c r="G21" s="150">
        <f t="shared" si="4"/>
        <v>5733.260869565217</v>
      </c>
      <c r="H21" s="140">
        <v>-431.11111111110949</v>
      </c>
      <c r="I21" s="140">
        <f t="shared" si="3"/>
        <v>5302.1497584541075</v>
      </c>
      <c r="J21" s="140">
        <f t="shared" si="5"/>
        <v>151.85024154589246</v>
      </c>
      <c r="K21" s="140">
        <f t="shared" si="6"/>
        <v>23058.495857545884</v>
      </c>
      <c r="L21" s="142">
        <f t="shared" si="7"/>
        <v>2.7841995149595244E-2</v>
      </c>
      <c r="M21" s="142"/>
      <c r="N21" s="143"/>
      <c r="O21" s="142"/>
      <c r="P21" s="142"/>
      <c r="Q21" s="144"/>
      <c r="R21" s="144"/>
      <c r="S21" s="144"/>
      <c r="T21" s="144"/>
    </row>
    <row r="22" spans="1:20" x14ac:dyDescent="0.3">
      <c r="A22" s="133">
        <v>5</v>
      </c>
      <c r="B22" s="134"/>
      <c r="C22" s="135" t="s">
        <v>24</v>
      </c>
      <c r="D22" s="134">
        <v>5721</v>
      </c>
      <c r="G22" s="150">
        <f t="shared" si="4"/>
        <v>5762.9794685990337</v>
      </c>
      <c r="H22" s="140">
        <v>-104.61111111110949</v>
      </c>
      <c r="I22" s="140">
        <f t="shared" si="3"/>
        <v>5658.3683574879242</v>
      </c>
      <c r="J22" s="140">
        <f t="shared" si="5"/>
        <v>62.631642512075814</v>
      </c>
      <c r="K22" s="140">
        <f t="shared" si="6"/>
        <v>3922.7226437604622</v>
      </c>
      <c r="L22" s="142">
        <f t="shared" si="7"/>
        <v>1.0947673922754031E-2</v>
      </c>
      <c r="M22" s="142"/>
      <c r="N22" s="143"/>
      <c r="O22" s="142"/>
      <c r="P22" s="142"/>
      <c r="Q22" s="144"/>
      <c r="R22" s="144"/>
      <c r="S22" s="144"/>
      <c r="T22" s="144"/>
    </row>
    <row r="23" spans="1:20" x14ac:dyDescent="0.3">
      <c r="A23" s="136">
        <v>6</v>
      </c>
      <c r="B23" s="137"/>
      <c r="C23" s="135" t="s">
        <v>25</v>
      </c>
      <c r="D23" s="137">
        <v>5690</v>
      </c>
      <c r="E23" s="140">
        <f>SUM(D18:D29)</f>
        <v>69643</v>
      </c>
      <c r="G23" s="150">
        <f t="shared" si="4"/>
        <v>5792.6980676328503</v>
      </c>
      <c r="H23" s="140">
        <v>-171.44444444444252</v>
      </c>
      <c r="I23" s="140">
        <f t="shared" si="3"/>
        <v>5621.2536231884078</v>
      </c>
      <c r="J23" s="140">
        <f t="shared" si="5"/>
        <v>68.746376811592199</v>
      </c>
      <c r="K23" s="140">
        <f t="shared" si="6"/>
        <v>4726.0643247214221</v>
      </c>
      <c r="L23" s="142">
        <f t="shared" si="7"/>
        <v>1.2081964290262249E-2</v>
      </c>
      <c r="M23" s="142"/>
      <c r="N23" s="143"/>
      <c r="O23" s="142"/>
      <c r="P23" s="142"/>
      <c r="Q23" s="144"/>
      <c r="R23" s="144"/>
      <c r="S23" s="144"/>
      <c r="T23" s="144"/>
    </row>
    <row r="24" spans="1:20" x14ac:dyDescent="0.3">
      <c r="A24" s="133">
        <v>7</v>
      </c>
      <c r="B24" s="134"/>
      <c r="C24" s="135" t="s">
        <v>26</v>
      </c>
      <c r="D24" s="134">
        <v>5804</v>
      </c>
      <c r="E24" s="140">
        <f t="shared" ref="E24:E87" si="8">SUM(D19:D30)</f>
        <v>70095</v>
      </c>
      <c r="F24" s="140">
        <f>SUM(E23:E24)</f>
        <v>139738</v>
      </c>
      <c r="G24" s="150">
        <f>F24/24</f>
        <v>5822.416666666667</v>
      </c>
      <c r="H24" s="140">
        <v>-30.944444444442524</v>
      </c>
      <c r="I24" s="140">
        <f>G24+H24</f>
        <v>5791.4722222222244</v>
      </c>
      <c r="J24" s="140">
        <f t="shared" si="5"/>
        <v>12.527777777775555</v>
      </c>
      <c r="K24" s="140">
        <f t="shared" si="6"/>
        <v>156.945216049327</v>
      </c>
      <c r="L24" s="142">
        <f t="shared" si="7"/>
        <v>2.1584730836966843E-3</v>
      </c>
      <c r="M24" s="142"/>
      <c r="N24" s="143"/>
      <c r="O24" s="142"/>
      <c r="P24" s="142"/>
      <c r="Q24" s="144"/>
      <c r="R24" s="144"/>
      <c r="S24" s="144"/>
      <c r="T24" s="144"/>
    </row>
    <row r="25" spans="1:20" x14ac:dyDescent="0.3">
      <c r="A25" s="136">
        <v>8</v>
      </c>
      <c r="B25" s="137"/>
      <c r="C25" s="135" t="s">
        <v>27</v>
      </c>
      <c r="D25" s="137">
        <v>6040</v>
      </c>
      <c r="E25" s="140">
        <f t="shared" si="8"/>
        <v>70520</v>
      </c>
      <c r="F25" s="140">
        <f t="shared" ref="F25:F88" si="9">SUM(E24:E25)</f>
        <v>140615</v>
      </c>
      <c r="G25" s="150">
        <f t="shared" ref="G25:G88" si="10">F25/24</f>
        <v>5858.958333333333</v>
      </c>
      <c r="H25" s="140">
        <v>274.55555555555748</v>
      </c>
      <c r="I25" s="140">
        <f t="shared" ref="I25:I88" si="11">G25+H25</f>
        <v>6133.5138888888905</v>
      </c>
      <c r="J25" s="140">
        <f t="shared" si="5"/>
        <v>93.513888888890506</v>
      </c>
      <c r="K25" s="140">
        <f t="shared" si="6"/>
        <v>8744.8474151237588</v>
      </c>
      <c r="L25" s="142">
        <f t="shared" si="7"/>
        <v>1.5482431935246772E-2</v>
      </c>
      <c r="M25" s="142"/>
      <c r="N25" s="143"/>
      <c r="O25" s="142"/>
      <c r="P25" s="142"/>
      <c r="Q25" s="144"/>
      <c r="R25" s="144"/>
      <c r="S25" s="144"/>
      <c r="T25" s="144"/>
    </row>
    <row r="26" spans="1:20" x14ac:dyDescent="0.3">
      <c r="A26" s="133">
        <v>9</v>
      </c>
      <c r="B26" s="134"/>
      <c r="C26" s="135" t="s">
        <v>28</v>
      </c>
      <c r="D26" s="134">
        <v>5843</v>
      </c>
      <c r="E26" s="140">
        <f t="shared" si="8"/>
        <v>70826</v>
      </c>
      <c r="F26" s="140">
        <f t="shared" si="9"/>
        <v>141346</v>
      </c>
      <c r="G26" s="150">
        <f t="shared" si="10"/>
        <v>5889.416666666667</v>
      </c>
      <c r="H26" s="140">
        <v>-16.944444444442524</v>
      </c>
      <c r="I26" s="140">
        <f t="shared" si="11"/>
        <v>5872.4722222222244</v>
      </c>
      <c r="J26" s="140">
        <f t="shared" si="5"/>
        <v>29.472222222224445</v>
      </c>
      <c r="K26" s="140">
        <f t="shared" si="6"/>
        <v>868.61188271618039</v>
      </c>
      <c r="L26" s="142">
        <f t="shared" si="7"/>
        <v>5.0440222868773652E-3</v>
      </c>
      <c r="M26" s="153"/>
      <c r="N26" s="154"/>
      <c r="O26" s="142"/>
      <c r="P26" s="142"/>
      <c r="Q26" s="144"/>
      <c r="R26" s="144"/>
      <c r="S26" s="144"/>
      <c r="T26" s="144"/>
    </row>
    <row r="27" spans="1:20" x14ac:dyDescent="0.3">
      <c r="A27" s="136">
        <v>10</v>
      </c>
      <c r="B27" s="137"/>
      <c r="C27" s="135" t="s">
        <v>29</v>
      </c>
      <c r="D27" s="137">
        <v>6087</v>
      </c>
      <c r="E27" s="140">
        <f t="shared" si="8"/>
        <v>71140</v>
      </c>
      <c r="F27" s="140">
        <f t="shared" si="9"/>
        <v>141966</v>
      </c>
      <c r="G27" s="150">
        <f t="shared" si="10"/>
        <v>5915.25</v>
      </c>
      <c r="H27" s="140">
        <v>256.55555555555748</v>
      </c>
      <c r="I27" s="140">
        <f t="shared" si="11"/>
        <v>6171.8055555555575</v>
      </c>
      <c r="J27" s="140">
        <f t="shared" si="5"/>
        <v>84.805555555557476</v>
      </c>
      <c r="K27" s="140">
        <f t="shared" si="6"/>
        <v>7191.982253086745</v>
      </c>
      <c r="L27" s="142">
        <f t="shared" si="7"/>
        <v>1.3932241753829058E-2</v>
      </c>
      <c r="O27" s="152"/>
      <c r="P27" s="142"/>
      <c r="Q27" s="144"/>
      <c r="R27" s="144"/>
      <c r="S27" s="144"/>
      <c r="T27" s="144"/>
    </row>
    <row r="28" spans="1:20" ht="15" thickBot="1" x14ac:dyDescent="0.35">
      <c r="A28" s="133">
        <v>11</v>
      </c>
      <c r="B28" s="134"/>
      <c r="C28" s="135" t="s">
        <v>30</v>
      </c>
      <c r="D28" s="134">
        <v>6469</v>
      </c>
      <c r="E28" s="140">
        <f t="shared" si="8"/>
        <v>71526</v>
      </c>
      <c r="F28" s="140">
        <f t="shared" si="9"/>
        <v>142666</v>
      </c>
      <c r="G28" s="150">
        <f t="shared" si="10"/>
        <v>5944.416666666667</v>
      </c>
      <c r="H28" s="140">
        <v>752.38888888889051</v>
      </c>
      <c r="I28" s="140">
        <f t="shared" si="11"/>
        <v>6696.8055555555575</v>
      </c>
      <c r="J28" s="140">
        <f t="shared" si="5"/>
        <v>227.80555555555748</v>
      </c>
      <c r="K28" s="140">
        <f t="shared" si="6"/>
        <v>51895.371141976182</v>
      </c>
      <c r="L28" s="142">
        <f t="shared" si="7"/>
        <v>3.5214956802528591E-2</v>
      </c>
      <c r="O28" s="152"/>
      <c r="P28" s="142"/>
      <c r="Q28" s="144"/>
      <c r="R28" s="144"/>
      <c r="S28" s="144"/>
      <c r="T28" s="144"/>
    </row>
    <row r="29" spans="1:20" ht="15" thickBot="1" x14ac:dyDescent="0.35">
      <c r="A29" s="136">
        <v>12</v>
      </c>
      <c r="B29" s="137"/>
      <c r="C29" s="135" t="s">
        <v>31</v>
      </c>
      <c r="D29" s="137">
        <v>7002</v>
      </c>
      <c r="E29" s="140">
        <f t="shared" si="8"/>
        <v>71852</v>
      </c>
      <c r="F29" s="140">
        <f t="shared" si="9"/>
        <v>143378</v>
      </c>
      <c r="G29" s="150">
        <f t="shared" si="10"/>
        <v>5974.083333333333</v>
      </c>
      <c r="H29" s="140">
        <v>1372.3888888888914</v>
      </c>
      <c r="I29" s="140">
        <f t="shared" si="11"/>
        <v>7346.4722222222244</v>
      </c>
      <c r="J29" s="140">
        <f t="shared" si="5"/>
        <v>344.47222222222445</v>
      </c>
      <c r="K29" s="140">
        <f t="shared" si="6"/>
        <v>118661.11188271758</v>
      </c>
      <c r="L29" s="142">
        <f t="shared" si="7"/>
        <v>4.9196261385636167E-2</v>
      </c>
      <c r="N29" s="284" t="s">
        <v>99</v>
      </c>
      <c r="O29" s="285"/>
      <c r="P29" s="142"/>
      <c r="Q29" s="144"/>
      <c r="R29" s="144"/>
      <c r="S29" s="144"/>
      <c r="T29" s="144"/>
    </row>
    <row r="30" spans="1:20" x14ac:dyDescent="0.3">
      <c r="A30" s="133">
        <v>13</v>
      </c>
      <c r="B30" s="134">
        <v>1997</v>
      </c>
      <c r="C30" s="135" t="s">
        <v>20</v>
      </c>
      <c r="D30" s="134">
        <v>5416</v>
      </c>
      <c r="E30" s="140">
        <f t="shared" si="8"/>
        <v>72179</v>
      </c>
      <c r="F30" s="140">
        <f t="shared" si="9"/>
        <v>144031</v>
      </c>
      <c r="G30" s="150">
        <f t="shared" si="10"/>
        <v>6001.291666666667</v>
      </c>
      <c r="H30" s="140">
        <v>-826.11111111110949</v>
      </c>
      <c r="I30" s="140">
        <f t="shared" si="11"/>
        <v>5175.1805555555575</v>
      </c>
      <c r="J30" s="140">
        <f t="shared" si="5"/>
        <v>240.81944444444252</v>
      </c>
      <c r="K30" s="140">
        <f t="shared" si="6"/>
        <v>57994.00482252994</v>
      </c>
      <c r="L30" s="142">
        <f t="shared" si="7"/>
        <v>4.4464446906285544E-2</v>
      </c>
      <c r="N30" s="157" t="s">
        <v>95</v>
      </c>
      <c r="O30" s="158">
        <v>7873</v>
      </c>
      <c r="P30" s="142"/>
      <c r="Q30" s="144"/>
      <c r="R30" s="144"/>
      <c r="S30" s="144"/>
      <c r="T30" s="144"/>
    </row>
    <row r="31" spans="1:20" x14ac:dyDescent="0.3">
      <c r="A31" s="136">
        <v>14</v>
      </c>
      <c r="B31" s="137"/>
      <c r="C31" s="135" t="s">
        <v>21</v>
      </c>
      <c r="D31" s="137">
        <v>5393</v>
      </c>
      <c r="E31" s="140">
        <f t="shared" si="8"/>
        <v>72638</v>
      </c>
      <c r="F31" s="140">
        <f t="shared" si="9"/>
        <v>144817</v>
      </c>
      <c r="G31" s="150">
        <f t="shared" si="10"/>
        <v>6034.041666666667</v>
      </c>
      <c r="H31" s="140">
        <v>-831.11111111110949</v>
      </c>
      <c r="I31" s="140">
        <f t="shared" si="11"/>
        <v>5202.9305555555575</v>
      </c>
      <c r="J31" s="140">
        <f t="shared" si="5"/>
        <v>190.06944444444252</v>
      </c>
      <c r="K31" s="140">
        <f t="shared" si="6"/>
        <v>36126.393711419027</v>
      </c>
      <c r="L31" s="142">
        <f t="shared" si="7"/>
        <v>3.5243731586212225E-2</v>
      </c>
      <c r="N31" s="159" t="s">
        <v>96</v>
      </c>
      <c r="O31" s="160">
        <f>G24</f>
        <v>5822.416666666667</v>
      </c>
      <c r="P31" s="142"/>
      <c r="Q31" s="144"/>
      <c r="R31" s="144"/>
      <c r="S31" s="144"/>
      <c r="T31" s="144"/>
    </row>
    <row r="32" spans="1:20" x14ac:dyDescent="0.3">
      <c r="A32" s="133">
        <v>15</v>
      </c>
      <c r="B32" s="134"/>
      <c r="C32" s="135" t="s">
        <v>22</v>
      </c>
      <c r="D32" s="134">
        <v>5907</v>
      </c>
      <c r="E32" s="140">
        <f t="shared" si="8"/>
        <v>73044</v>
      </c>
      <c r="F32" s="140">
        <f t="shared" si="9"/>
        <v>145682</v>
      </c>
      <c r="G32" s="150">
        <f t="shared" si="10"/>
        <v>6070.083333333333</v>
      </c>
      <c r="H32" s="140">
        <v>-243.61111111110949</v>
      </c>
      <c r="I32" s="140">
        <f t="shared" si="11"/>
        <v>5826.4722222222235</v>
      </c>
      <c r="J32" s="140">
        <f t="shared" si="5"/>
        <v>80.527777777776464</v>
      </c>
      <c r="K32" s="140">
        <f t="shared" si="6"/>
        <v>6484.7229938269493</v>
      </c>
      <c r="L32" s="142">
        <f t="shared" si="7"/>
        <v>1.3632601621428214E-2</v>
      </c>
      <c r="M32" s="155"/>
      <c r="N32" s="159" t="s">
        <v>97</v>
      </c>
      <c r="O32" s="160">
        <f>O30-O31</f>
        <v>2050.583333333333</v>
      </c>
      <c r="P32" s="142"/>
      <c r="Q32" s="144"/>
      <c r="R32" s="144"/>
      <c r="S32" s="144"/>
      <c r="T32" s="144"/>
    </row>
    <row r="33" spans="1:20" ht="15" thickBot="1" x14ac:dyDescent="0.35">
      <c r="A33" s="136">
        <v>16</v>
      </c>
      <c r="B33" s="137"/>
      <c r="C33" s="135" t="s">
        <v>23</v>
      </c>
      <c r="D33" s="137">
        <v>5768</v>
      </c>
      <c r="E33" s="140">
        <f t="shared" si="8"/>
        <v>73429</v>
      </c>
      <c r="F33" s="140">
        <f t="shared" si="9"/>
        <v>146473</v>
      </c>
      <c r="G33" s="150">
        <f t="shared" si="10"/>
        <v>6103.041666666667</v>
      </c>
      <c r="H33" s="140">
        <v>-431.11111111110949</v>
      </c>
      <c r="I33" s="140">
        <f t="shared" si="11"/>
        <v>5671.9305555555575</v>
      </c>
      <c r="J33" s="140">
        <f t="shared" si="5"/>
        <v>96.069444444442524</v>
      </c>
      <c r="K33" s="140">
        <f t="shared" si="6"/>
        <v>9229.3381558638284</v>
      </c>
      <c r="L33" s="142">
        <f t="shared" si="7"/>
        <v>1.6655590229619023E-2</v>
      </c>
      <c r="M33" s="142"/>
      <c r="N33" s="161" t="s">
        <v>98</v>
      </c>
      <c r="O33" s="162">
        <f>O32/69</f>
        <v>29.718599033816421</v>
      </c>
      <c r="P33" s="142"/>
      <c r="Q33" s="144"/>
      <c r="R33" s="144"/>
      <c r="S33" s="144"/>
      <c r="T33" s="144"/>
    </row>
    <row r="34" spans="1:20" x14ac:dyDescent="0.3">
      <c r="A34" s="133">
        <v>17</v>
      </c>
      <c r="B34" s="134"/>
      <c r="C34" s="135" t="s">
        <v>24</v>
      </c>
      <c r="D34" s="134">
        <v>6107</v>
      </c>
      <c r="E34" s="140">
        <f t="shared" si="8"/>
        <v>73906</v>
      </c>
      <c r="F34" s="140">
        <f t="shared" si="9"/>
        <v>147335</v>
      </c>
      <c r="G34" s="150">
        <f t="shared" si="10"/>
        <v>6138.958333333333</v>
      </c>
      <c r="H34" s="140">
        <v>-104.61111111110949</v>
      </c>
      <c r="I34" s="140">
        <f t="shared" si="11"/>
        <v>6034.3472222222235</v>
      </c>
      <c r="J34" s="140">
        <f t="shared" si="5"/>
        <v>72.652777777776464</v>
      </c>
      <c r="K34" s="140">
        <f t="shared" si="6"/>
        <v>5278.4261188269693</v>
      </c>
      <c r="L34" s="142">
        <f t="shared" si="7"/>
        <v>1.18966395575203E-2</v>
      </c>
      <c r="M34" s="142"/>
      <c r="N34" s="143"/>
      <c r="O34" s="142"/>
      <c r="P34" s="142"/>
      <c r="Q34" s="144"/>
      <c r="R34" s="144"/>
      <c r="S34" s="144"/>
      <c r="T34" s="144"/>
    </row>
    <row r="35" spans="1:20" x14ac:dyDescent="0.3">
      <c r="A35" s="136">
        <v>18</v>
      </c>
      <c r="B35" s="137"/>
      <c r="C35" s="135" t="s">
        <v>25</v>
      </c>
      <c r="D35" s="137">
        <v>6016</v>
      </c>
      <c r="E35" s="140">
        <f t="shared" si="8"/>
        <v>74519</v>
      </c>
      <c r="F35" s="140">
        <f t="shared" si="9"/>
        <v>148425</v>
      </c>
      <c r="G35" s="150">
        <f t="shared" si="10"/>
        <v>6184.375</v>
      </c>
      <c r="H35" s="140">
        <v>-171.44444444444252</v>
      </c>
      <c r="I35" s="140">
        <f t="shared" si="11"/>
        <v>6012.9305555555575</v>
      </c>
      <c r="J35" s="140">
        <f t="shared" si="5"/>
        <v>3.0694444444425244</v>
      </c>
      <c r="K35" s="140">
        <f t="shared" si="6"/>
        <v>9.4214891975190778</v>
      </c>
      <c r="L35" s="142">
        <f t="shared" si="7"/>
        <v>5.1021350472781328E-4</v>
      </c>
      <c r="M35" s="142"/>
      <c r="N35" s="143"/>
      <c r="O35" s="142"/>
      <c r="P35" s="142"/>
      <c r="Q35" s="144"/>
      <c r="R35" s="144"/>
      <c r="S35" s="144"/>
      <c r="T35" s="144"/>
    </row>
    <row r="36" spans="1:20" x14ac:dyDescent="0.3">
      <c r="A36" s="133">
        <v>19</v>
      </c>
      <c r="B36" s="134"/>
      <c r="C36" s="135" t="s">
        <v>26</v>
      </c>
      <c r="D36" s="134">
        <v>6131</v>
      </c>
      <c r="E36" s="140">
        <f t="shared" si="8"/>
        <v>74979</v>
      </c>
      <c r="F36" s="140">
        <f t="shared" si="9"/>
        <v>149498</v>
      </c>
      <c r="G36" s="150">
        <f t="shared" si="10"/>
        <v>6229.083333333333</v>
      </c>
      <c r="H36" s="140">
        <v>-30.944444444442524</v>
      </c>
      <c r="I36" s="140">
        <f t="shared" si="11"/>
        <v>6198.1388888888905</v>
      </c>
      <c r="J36" s="140">
        <f t="shared" si="5"/>
        <v>67.138888888890506</v>
      </c>
      <c r="K36" s="140">
        <f t="shared" si="6"/>
        <v>4507.6304012347846</v>
      </c>
      <c r="L36" s="142">
        <f t="shared" si="7"/>
        <v>1.095072400732189E-2</v>
      </c>
      <c r="M36" s="142"/>
      <c r="N36" s="143"/>
      <c r="O36" s="142"/>
      <c r="P36" s="142"/>
      <c r="Q36" s="144"/>
      <c r="R36" s="144"/>
      <c r="S36" s="144"/>
      <c r="T36" s="144"/>
    </row>
    <row r="37" spans="1:20" x14ac:dyDescent="0.3">
      <c r="A37" s="136">
        <v>20</v>
      </c>
      <c r="B37" s="137"/>
      <c r="C37" s="135" t="s">
        <v>27</v>
      </c>
      <c r="D37" s="137">
        <v>6499</v>
      </c>
      <c r="E37" s="140">
        <f t="shared" si="8"/>
        <v>75404</v>
      </c>
      <c r="F37" s="140">
        <f t="shared" si="9"/>
        <v>150383</v>
      </c>
      <c r="G37" s="150">
        <f t="shared" si="10"/>
        <v>6265.958333333333</v>
      </c>
      <c r="H37" s="140">
        <v>274.55555555555748</v>
      </c>
      <c r="I37" s="140">
        <f t="shared" si="11"/>
        <v>6540.5138888888905</v>
      </c>
      <c r="J37" s="140">
        <f t="shared" si="5"/>
        <v>41.513888888890506</v>
      </c>
      <c r="K37" s="140">
        <f t="shared" si="6"/>
        <v>1723.4029706791466</v>
      </c>
      <c r="L37" s="142">
        <f t="shared" si="7"/>
        <v>6.3877348651931844E-3</v>
      </c>
      <c r="M37" s="142"/>
      <c r="N37" s="143"/>
      <c r="O37" s="142"/>
      <c r="P37" s="142"/>
      <c r="Q37" s="144"/>
      <c r="R37" s="144"/>
      <c r="S37" s="144"/>
      <c r="T37" s="144"/>
    </row>
    <row r="38" spans="1:20" x14ac:dyDescent="0.3">
      <c r="A38" s="133">
        <v>21</v>
      </c>
      <c r="B38" s="134"/>
      <c r="C38" s="135" t="s">
        <v>28</v>
      </c>
      <c r="D38" s="134">
        <v>6249</v>
      </c>
      <c r="E38" s="140">
        <f t="shared" si="8"/>
        <v>75839</v>
      </c>
      <c r="F38" s="140">
        <f t="shared" si="9"/>
        <v>151243</v>
      </c>
      <c r="G38" s="150">
        <f t="shared" si="10"/>
        <v>6301.791666666667</v>
      </c>
      <c r="H38" s="140">
        <v>-16.944444444442524</v>
      </c>
      <c r="I38" s="140">
        <f t="shared" si="11"/>
        <v>6284.8472222222244</v>
      </c>
      <c r="J38" s="140">
        <f t="shared" si="5"/>
        <v>35.847222222224445</v>
      </c>
      <c r="K38" s="140">
        <f t="shared" si="6"/>
        <v>1285.0233410495421</v>
      </c>
      <c r="L38" s="142">
        <f t="shared" si="7"/>
        <v>5.7364733912985194E-3</v>
      </c>
      <c r="M38" s="142"/>
      <c r="N38" s="143"/>
      <c r="O38" s="142"/>
      <c r="P38" s="142"/>
      <c r="Q38" s="144"/>
      <c r="R38" s="144"/>
      <c r="S38" s="144"/>
      <c r="T38" s="144"/>
    </row>
    <row r="39" spans="1:20" x14ac:dyDescent="0.3">
      <c r="A39" s="136">
        <v>22</v>
      </c>
      <c r="B39" s="137"/>
      <c r="C39" s="135" t="s">
        <v>29</v>
      </c>
      <c r="D39" s="137">
        <v>6472</v>
      </c>
      <c r="E39" s="140">
        <f t="shared" si="8"/>
        <v>76214</v>
      </c>
      <c r="F39" s="140">
        <f t="shared" si="9"/>
        <v>152053</v>
      </c>
      <c r="G39" s="150">
        <f t="shared" si="10"/>
        <v>6335.541666666667</v>
      </c>
      <c r="H39" s="140">
        <v>256.55555555555748</v>
      </c>
      <c r="I39" s="140">
        <f t="shared" si="11"/>
        <v>6592.0972222222244</v>
      </c>
      <c r="J39" s="140">
        <f t="shared" si="5"/>
        <v>120.09722222222445</v>
      </c>
      <c r="K39" s="140">
        <f t="shared" si="6"/>
        <v>14423.342785494362</v>
      </c>
      <c r="L39" s="142">
        <f t="shared" si="7"/>
        <v>1.8556431122098958E-2</v>
      </c>
      <c r="M39" s="142"/>
      <c r="N39" s="143"/>
      <c r="O39" s="142"/>
      <c r="P39" s="142"/>
      <c r="Q39" s="144"/>
      <c r="R39" s="144"/>
      <c r="S39" s="144"/>
      <c r="T39" s="144"/>
    </row>
    <row r="40" spans="1:20" x14ac:dyDescent="0.3">
      <c r="A40" s="133">
        <v>23</v>
      </c>
      <c r="B40" s="134"/>
      <c r="C40" s="135" t="s">
        <v>30</v>
      </c>
      <c r="D40" s="134">
        <v>6946</v>
      </c>
      <c r="E40" s="140">
        <f t="shared" si="8"/>
        <v>76549</v>
      </c>
      <c r="F40" s="140">
        <f t="shared" si="9"/>
        <v>152763</v>
      </c>
      <c r="G40" s="150">
        <f t="shared" si="10"/>
        <v>6365.125</v>
      </c>
      <c r="H40" s="140">
        <v>752.38888888889051</v>
      </c>
      <c r="I40" s="140">
        <f t="shared" si="11"/>
        <v>7117.5138888888905</v>
      </c>
      <c r="J40" s="140">
        <f t="shared" si="5"/>
        <v>171.51388888889051</v>
      </c>
      <c r="K40" s="140">
        <f t="shared" si="6"/>
        <v>29417.014081790679</v>
      </c>
      <c r="L40" s="142">
        <f t="shared" si="7"/>
        <v>2.4692468886969552E-2</v>
      </c>
      <c r="M40" s="142"/>
      <c r="N40" s="143"/>
      <c r="O40" s="142"/>
      <c r="P40" s="142"/>
      <c r="Q40" s="144"/>
      <c r="R40" s="144"/>
      <c r="S40" s="144"/>
      <c r="T40" s="144"/>
    </row>
    <row r="41" spans="1:20" x14ac:dyDescent="0.3">
      <c r="A41" s="136">
        <v>24</v>
      </c>
      <c r="B41" s="137"/>
      <c r="C41" s="135" t="s">
        <v>31</v>
      </c>
      <c r="D41" s="137">
        <v>7615</v>
      </c>
      <c r="E41" s="140">
        <f t="shared" si="8"/>
        <v>76940</v>
      </c>
      <c r="F41" s="140">
        <f t="shared" si="9"/>
        <v>153489</v>
      </c>
      <c r="G41" s="150">
        <f t="shared" si="10"/>
        <v>6395.375</v>
      </c>
      <c r="H41" s="140">
        <v>1372.3888888888914</v>
      </c>
      <c r="I41" s="140">
        <f t="shared" si="11"/>
        <v>7767.7638888888914</v>
      </c>
      <c r="J41" s="140">
        <f t="shared" si="5"/>
        <v>152.76388888889142</v>
      </c>
      <c r="K41" s="140">
        <f t="shared" si="6"/>
        <v>23336.805748457562</v>
      </c>
      <c r="L41" s="142">
        <f t="shared" si="7"/>
        <v>2.0060917779237217E-2</v>
      </c>
      <c r="M41" s="142"/>
      <c r="N41" s="143"/>
      <c r="O41" s="142"/>
      <c r="P41" s="142"/>
      <c r="Q41" s="144"/>
      <c r="R41" s="144"/>
      <c r="S41" s="144"/>
      <c r="T41" s="144"/>
    </row>
    <row r="42" spans="1:20" x14ac:dyDescent="0.3">
      <c r="A42" s="133">
        <v>25</v>
      </c>
      <c r="B42" s="134">
        <v>1998</v>
      </c>
      <c r="C42" s="135" t="s">
        <v>20</v>
      </c>
      <c r="D42" s="134">
        <v>5876</v>
      </c>
      <c r="E42" s="140">
        <f t="shared" si="8"/>
        <v>77354</v>
      </c>
      <c r="F42" s="140">
        <f t="shared" si="9"/>
        <v>154294</v>
      </c>
      <c r="G42" s="150">
        <f t="shared" si="10"/>
        <v>6428.916666666667</v>
      </c>
      <c r="H42" s="140">
        <v>-826.11111111110949</v>
      </c>
      <c r="I42" s="140">
        <f t="shared" si="11"/>
        <v>5602.8055555555575</v>
      </c>
      <c r="J42" s="140">
        <f t="shared" si="5"/>
        <v>273.19444444444252</v>
      </c>
      <c r="K42" s="140">
        <f t="shared" si="6"/>
        <v>74635.20447530759</v>
      </c>
      <c r="L42" s="142">
        <f t="shared" si="7"/>
        <v>4.6493268285303355E-2</v>
      </c>
      <c r="M42" s="142"/>
      <c r="N42" s="143"/>
      <c r="O42" s="142"/>
      <c r="P42" s="142"/>
      <c r="Q42" s="144"/>
      <c r="R42" s="144"/>
      <c r="S42" s="144"/>
      <c r="T42" s="144"/>
    </row>
    <row r="43" spans="1:20" x14ac:dyDescent="0.3">
      <c r="A43" s="136">
        <v>26</v>
      </c>
      <c r="B43" s="137"/>
      <c r="C43" s="135" t="s">
        <v>21</v>
      </c>
      <c r="D43" s="137">
        <v>5818</v>
      </c>
      <c r="E43" s="140">
        <f t="shared" si="8"/>
        <v>77613</v>
      </c>
      <c r="F43" s="140">
        <f t="shared" si="9"/>
        <v>154967</v>
      </c>
      <c r="G43" s="150">
        <f t="shared" si="10"/>
        <v>6456.958333333333</v>
      </c>
      <c r="H43" s="140">
        <v>-831.11111111110949</v>
      </c>
      <c r="I43" s="140">
        <f t="shared" si="11"/>
        <v>5625.8472222222235</v>
      </c>
      <c r="J43" s="140">
        <f t="shared" si="5"/>
        <v>192.15277777777646</v>
      </c>
      <c r="K43" s="140">
        <f t="shared" si="6"/>
        <v>36922.690007715544</v>
      </c>
      <c r="L43" s="142">
        <f t="shared" si="7"/>
        <v>3.302729078339231E-2</v>
      </c>
      <c r="M43" s="142"/>
      <c r="N43" s="143"/>
      <c r="O43" s="142"/>
      <c r="P43" s="142"/>
      <c r="Q43" s="144"/>
      <c r="R43" s="144"/>
      <c r="S43" s="144"/>
      <c r="T43" s="144"/>
    </row>
    <row r="44" spans="1:20" x14ac:dyDescent="0.3">
      <c r="A44" s="133">
        <v>27</v>
      </c>
      <c r="B44" s="134"/>
      <c r="C44" s="135" t="s">
        <v>22</v>
      </c>
      <c r="D44" s="134">
        <v>6342</v>
      </c>
      <c r="E44" s="140">
        <f t="shared" si="8"/>
        <v>77849</v>
      </c>
      <c r="F44" s="140">
        <f t="shared" si="9"/>
        <v>155462</v>
      </c>
      <c r="G44" s="150">
        <f t="shared" si="10"/>
        <v>6477.583333333333</v>
      </c>
      <c r="H44" s="140">
        <v>-243.61111111110949</v>
      </c>
      <c r="I44" s="140">
        <f t="shared" si="11"/>
        <v>6233.9722222222235</v>
      </c>
      <c r="J44" s="140">
        <f t="shared" si="5"/>
        <v>108.02777777777646</v>
      </c>
      <c r="K44" s="140">
        <f t="shared" si="6"/>
        <v>11670.000771604655</v>
      </c>
      <c r="L44" s="142">
        <f t="shared" si="7"/>
        <v>1.7033708258873615E-2</v>
      </c>
      <c r="M44" s="142"/>
      <c r="N44" s="143"/>
      <c r="O44" s="142"/>
      <c r="P44" s="142"/>
      <c r="Q44" s="144"/>
      <c r="R44" s="144"/>
      <c r="S44" s="144"/>
      <c r="T44" s="144"/>
    </row>
    <row r="45" spans="1:20" x14ac:dyDescent="0.3">
      <c r="A45" s="136">
        <v>28</v>
      </c>
      <c r="B45" s="137"/>
      <c r="C45" s="135" t="s">
        <v>23</v>
      </c>
      <c r="D45" s="137">
        <v>6143</v>
      </c>
      <c r="E45" s="140">
        <f t="shared" si="8"/>
        <v>78182</v>
      </c>
      <c r="F45" s="140">
        <f t="shared" si="9"/>
        <v>156031</v>
      </c>
      <c r="G45" s="150">
        <f t="shared" si="10"/>
        <v>6501.291666666667</v>
      </c>
      <c r="H45" s="140">
        <v>-431.11111111110949</v>
      </c>
      <c r="I45" s="140">
        <f t="shared" si="11"/>
        <v>6070.1805555555575</v>
      </c>
      <c r="J45" s="140">
        <f t="shared" si="5"/>
        <v>72.819444444442524</v>
      </c>
      <c r="K45" s="140">
        <f t="shared" si="6"/>
        <v>5302.6714891972515</v>
      </c>
      <c r="L45" s="142">
        <f t="shared" si="7"/>
        <v>1.1854052489735069E-2</v>
      </c>
      <c r="M45" s="142"/>
      <c r="N45" s="143"/>
      <c r="O45" s="142"/>
      <c r="P45" s="142"/>
      <c r="Q45" s="144"/>
      <c r="R45" s="144"/>
      <c r="S45" s="144"/>
      <c r="T45" s="144"/>
    </row>
    <row r="46" spans="1:20" x14ac:dyDescent="0.3">
      <c r="A46" s="133">
        <v>29</v>
      </c>
      <c r="B46" s="134"/>
      <c r="C46" s="135" t="s">
        <v>24</v>
      </c>
      <c r="D46" s="134">
        <v>6442</v>
      </c>
      <c r="E46" s="140">
        <f t="shared" si="8"/>
        <v>78597</v>
      </c>
      <c r="F46" s="140">
        <f t="shared" si="9"/>
        <v>156779</v>
      </c>
      <c r="G46" s="150">
        <f t="shared" si="10"/>
        <v>6532.458333333333</v>
      </c>
      <c r="H46" s="140">
        <v>-104.61111111110949</v>
      </c>
      <c r="I46" s="140">
        <f t="shared" si="11"/>
        <v>6427.8472222222235</v>
      </c>
      <c r="J46" s="140">
        <f t="shared" si="5"/>
        <v>14.152777777776464</v>
      </c>
      <c r="K46" s="140">
        <f t="shared" si="6"/>
        <v>200.3011188271233</v>
      </c>
      <c r="L46" s="142">
        <f t="shared" si="7"/>
        <v>2.1969540170407426E-3</v>
      </c>
      <c r="M46" s="142"/>
      <c r="N46" s="143"/>
      <c r="O46" s="142"/>
      <c r="P46" s="142"/>
      <c r="Q46" s="144"/>
      <c r="R46" s="144"/>
      <c r="S46" s="144"/>
      <c r="T46" s="144"/>
    </row>
    <row r="47" spans="1:20" x14ac:dyDescent="0.3">
      <c r="A47" s="136">
        <v>30</v>
      </c>
      <c r="B47" s="137"/>
      <c r="C47" s="135" t="s">
        <v>25</v>
      </c>
      <c r="D47" s="137">
        <v>6407</v>
      </c>
      <c r="E47" s="140">
        <f t="shared" si="8"/>
        <v>79061</v>
      </c>
      <c r="F47" s="140">
        <f t="shared" si="9"/>
        <v>157658</v>
      </c>
      <c r="G47" s="150">
        <f t="shared" si="10"/>
        <v>6569.083333333333</v>
      </c>
      <c r="H47" s="140">
        <v>-171.44444444444252</v>
      </c>
      <c r="I47" s="140">
        <f t="shared" si="11"/>
        <v>6397.6388888888905</v>
      </c>
      <c r="J47" s="140">
        <f t="shared" si="5"/>
        <v>9.3611111111094942</v>
      </c>
      <c r="K47" s="140">
        <f t="shared" si="6"/>
        <v>87.630401234537629</v>
      </c>
      <c r="L47" s="142">
        <f t="shared" si="7"/>
        <v>1.4610755597174176E-3</v>
      </c>
      <c r="M47" s="142"/>
      <c r="N47" s="143"/>
      <c r="O47" s="142"/>
      <c r="P47" s="142"/>
      <c r="Q47" s="144"/>
      <c r="R47" s="144"/>
      <c r="S47" s="144"/>
      <c r="T47" s="144"/>
    </row>
    <row r="48" spans="1:20" x14ac:dyDescent="0.3">
      <c r="A48" s="133">
        <v>31</v>
      </c>
      <c r="B48" s="134"/>
      <c r="C48" s="135" t="s">
        <v>26</v>
      </c>
      <c r="D48" s="134">
        <v>6545</v>
      </c>
      <c r="E48" s="140">
        <f t="shared" si="8"/>
        <v>79246</v>
      </c>
      <c r="F48" s="140">
        <f t="shared" si="9"/>
        <v>158307</v>
      </c>
      <c r="G48" s="150">
        <f t="shared" si="10"/>
        <v>6596.125</v>
      </c>
      <c r="H48" s="140">
        <v>-30.944444444442524</v>
      </c>
      <c r="I48" s="140">
        <f t="shared" si="11"/>
        <v>6565.1805555555575</v>
      </c>
      <c r="J48" s="140">
        <f t="shared" si="5"/>
        <v>20.180555555557476</v>
      </c>
      <c r="K48" s="140">
        <f t="shared" si="6"/>
        <v>407.25482253094168</v>
      </c>
      <c r="L48" s="142">
        <f t="shared" si="7"/>
        <v>3.0833545539430828E-3</v>
      </c>
      <c r="M48" s="142"/>
      <c r="N48" s="143"/>
      <c r="O48" s="142"/>
      <c r="P48" s="142"/>
      <c r="Q48" s="144"/>
      <c r="R48" s="144"/>
      <c r="S48" s="144"/>
      <c r="T48" s="144"/>
    </row>
    <row r="49" spans="1:20" x14ac:dyDescent="0.3">
      <c r="A49" s="136">
        <v>32</v>
      </c>
      <c r="B49" s="137"/>
      <c r="C49" s="135" t="s">
        <v>27</v>
      </c>
      <c r="D49" s="137">
        <v>6758</v>
      </c>
      <c r="E49" s="140">
        <f t="shared" si="8"/>
        <v>79615</v>
      </c>
      <c r="F49" s="140">
        <f t="shared" si="9"/>
        <v>158861</v>
      </c>
      <c r="G49" s="150">
        <f t="shared" si="10"/>
        <v>6619.208333333333</v>
      </c>
      <c r="H49" s="140">
        <v>274.55555555555748</v>
      </c>
      <c r="I49" s="140">
        <f t="shared" si="11"/>
        <v>6893.7638888888905</v>
      </c>
      <c r="J49" s="140">
        <f t="shared" si="5"/>
        <v>135.76388888889051</v>
      </c>
      <c r="K49" s="140">
        <f t="shared" si="6"/>
        <v>18431.833526235008</v>
      </c>
      <c r="L49" s="142">
        <f t="shared" si="7"/>
        <v>2.0089359113478915E-2</v>
      </c>
      <c r="M49" s="142"/>
      <c r="N49" s="143"/>
      <c r="O49" s="142"/>
      <c r="P49" s="142"/>
      <c r="Q49" s="144"/>
      <c r="R49" s="144"/>
      <c r="S49" s="144"/>
      <c r="T49" s="144"/>
    </row>
    <row r="50" spans="1:20" x14ac:dyDescent="0.3">
      <c r="A50" s="133">
        <v>33</v>
      </c>
      <c r="B50" s="134"/>
      <c r="C50" s="135" t="s">
        <v>28</v>
      </c>
      <c r="D50" s="134">
        <v>6485</v>
      </c>
      <c r="E50" s="140">
        <f t="shared" si="8"/>
        <v>80065</v>
      </c>
      <c r="F50" s="140">
        <f t="shared" si="9"/>
        <v>159680</v>
      </c>
      <c r="G50" s="150">
        <f t="shared" si="10"/>
        <v>6653.333333333333</v>
      </c>
      <c r="H50" s="140">
        <v>-16.944444444442524</v>
      </c>
      <c r="I50" s="140">
        <f t="shared" si="11"/>
        <v>6636.3888888888905</v>
      </c>
      <c r="J50" s="140">
        <f t="shared" si="5"/>
        <v>151.38888888889051</v>
      </c>
      <c r="K50" s="140">
        <f t="shared" si="6"/>
        <v>22918.595679012837</v>
      </c>
      <c r="L50" s="142">
        <f t="shared" si="7"/>
        <v>2.3344470144778799E-2</v>
      </c>
      <c r="M50" s="142"/>
      <c r="N50" s="143"/>
      <c r="O50" s="142"/>
      <c r="P50" s="142"/>
      <c r="Q50" s="144"/>
      <c r="R50" s="144"/>
      <c r="S50" s="144"/>
      <c r="T50" s="144"/>
    </row>
    <row r="51" spans="1:20" x14ac:dyDescent="0.3">
      <c r="A51" s="136">
        <v>34</v>
      </c>
      <c r="B51" s="137"/>
      <c r="C51" s="135" t="s">
        <v>29</v>
      </c>
      <c r="D51" s="137">
        <v>6805</v>
      </c>
      <c r="E51" s="140">
        <f t="shared" si="8"/>
        <v>80509</v>
      </c>
      <c r="F51" s="140">
        <f t="shared" si="9"/>
        <v>160574</v>
      </c>
      <c r="G51" s="150">
        <f t="shared" si="10"/>
        <v>6690.583333333333</v>
      </c>
      <c r="H51" s="140">
        <v>256.55555555555748</v>
      </c>
      <c r="I51" s="140">
        <f t="shared" si="11"/>
        <v>6947.1388888888905</v>
      </c>
      <c r="J51" s="140">
        <f t="shared" si="5"/>
        <v>142.13888888889051</v>
      </c>
      <c r="K51" s="140">
        <f t="shared" si="6"/>
        <v>20203.463734568362</v>
      </c>
      <c r="L51" s="142">
        <f t="shared" si="7"/>
        <v>2.0887419381174211E-2</v>
      </c>
      <c r="M51" s="142"/>
      <c r="N51" s="143"/>
      <c r="O51" s="142"/>
      <c r="P51" s="142"/>
      <c r="Q51" s="144"/>
      <c r="R51" s="144"/>
      <c r="S51" s="144"/>
      <c r="T51" s="144"/>
    </row>
    <row r="52" spans="1:20" x14ac:dyDescent="0.3">
      <c r="A52" s="133">
        <v>35</v>
      </c>
      <c r="B52" s="134"/>
      <c r="C52" s="135" t="s">
        <v>30</v>
      </c>
      <c r="D52" s="134">
        <v>7361</v>
      </c>
      <c r="E52" s="140">
        <f t="shared" si="8"/>
        <v>80985</v>
      </c>
      <c r="F52" s="140">
        <f t="shared" si="9"/>
        <v>161494</v>
      </c>
      <c r="G52" s="150">
        <f t="shared" si="10"/>
        <v>6728.916666666667</v>
      </c>
      <c r="H52" s="140">
        <v>752.38888888889051</v>
      </c>
      <c r="I52" s="140">
        <f t="shared" si="11"/>
        <v>7481.3055555555575</v>
      </c>
      <c r="J52" s="140">
        <f t="shared" si="5"/>
        <v>120.30555555555748</v>
      </c>
      <c r="K52" s="140">
        <f t="shared" si="6"/>
        <v>14473.426697531326</v>
      </c>
      <c r="L52" s="142">
        <f t="shared" si="7"/>
        <v>1.6343642922912304E-2</v>
      </c>
      <c r="M52" s="142"/>
      <c r="N52" s="143"/>
      <c r="O52" s="142"/>
      <c r="P52" s="142"/>
      <c r="Q52" s="144"/>
      <c r="R52" s="144"/>
      <c r="S52" s="144"/>
      <c r="T52" s="144"/>
    </row>
    <row r="53" spans="1:20" x14ac:dyDescent="0.3">
      <c r="A53" s="136">
        <v>36</v>
      </c>
      <c r="B53" s="137"/>
      <c r="C53" s="135" t="s">
        <v>31</v>
      </c>
      <c r="D53" s="137">
        <v>8079</v>
      </c>
      <c r="E53" s="140">
        <f t="shared" si="8"/>
        <v>81498</v>
      </c>
      <c r="F53" s="140">
        <f t="shared" si="9"/>
        <v>162483</v>
      </c>
      <c r="G53" s="150">
        <f t="shared" si="10"/>
        <v>6770.125</v>
      </c>
      <c r="H53" s="140">
        <v>1372.3888888888914</v>
      </c>
      <c r="I53" s="140">
        <f t="shared" si="11"/>
        <v>8142.5138888888914</v>
      </c>
      <c r="J53" s="140">
        <f t="shared" si="5"/>
        <v>63.513888888891415</v>
      </c>
      <c r="K53" s="140">
        <f t="shared" si="6"/>
        <v>4034.0140817904444</v>
      </c>
      <c r="L53" s="142">
        <f t="shared" si="7"/>
        <v>7.8616027836231478E-3</v>
      </c>
      <c r="M53" s="142"/>
      <c r="N53" s="143"/>
      <c r="O53" s="142"/>
      <c r="P53" s="142"/>
      <c r="Q53" s="144"/>
      <c r="R53" s="144"/>
      <c r="S53" s="144"/>
      <c r="T53" s="144"/>
    </row>
    <row r="54" spans="1:20" x14ac:dyDescent="0.3">
      <c r="A54" s="133">
        <v>37</v>
      </c>
      <c r="B54" s="134">
        <v>1999</v>
      </c>
      <c r="C54" s="135" t="s">
        <v>20</v>
      </c>
      <c r="D54" s="134">
        <v>6061</v>
      </c>
      <c r="E54" s="140">
        <f t="shared" si="8"/>
        <v>81983</v>
      </c>
      <c r="F54" s="140">
        <f t="shared" si="9"/>
        <v>163481</v>
      </c>
      <c r="G54" s="150">
        <f t="shared" si="10"/>
        <v>6811.708333333333</v>
      </c>
      <c r="H54" s="140">
        <v>-826.11111111110949</v>
      </c>
      <c r="I54" s="140">
        <f t="shared" si="11"/>
        <v>5985.5972222222235</v>
      </c>
      <c r="J54" s="140">
        <f t="shared" si="5"/>
        <v>75.402777777776464</v>
      </c>
      <c r="K54" s="140">
        <f t="shared" si="6"/>
        <v>5685.5788966047403</v>
      </c>
      <c r="L54" s="142">
        <f t="shared" si="7"/>
        <v>1.2440649691103195E-2</v>
      </c>
      <c r="M54" s="142"/>
      <c r="N54" s="143"/>
      <c r="O54" s="142"/>
      <c r="P54" s="142"/>
      <c r="Q54" s="144"/>
      <c r="R54" s="144"/>
      <c r="S54" s="144"/>
      <c r="T54" s="144"/>
    </row>
    <row r="55" spans="1:20" x14ac:dyDescent="0.3">
      <c r="A55" s="136">
        <v>38</v>
      </c>
      <c r="B55" s="137"/>
      <c r="C55" s="135" t="s">
        <v>21</v>
      </c>
      <c r="D55" s="137">
        <v>6187</v>
      </c>
      <c r="E55" s="140">
        <f t="shared" si="8"/>
        <v>82716</v>
      </c>
      <c r="F55" s="140">
        <f t="shared" si="9"/>
        <v>164699</v>
      </c>
      <c r="G55" s="150">
        <f t="shared" si="10"/>
        <v>6862.458333333333</v>
      </c>
      <c r="H55" s="140">
        <v>-831.11111111110949</v>
      </c>
      <c r="I55" s="140">
        <f t="shared" si="11"/>
        <v>6031.3472222222235</v>
      </c>
      <c r="J55" s="140">
        <f t="shared" si="5"/>
        <v>155.65277777777646</v>
      </c>
      <c r="K55" s="140">
        <f t="shared" si="6"/>
        <v>24227.787229937861</v>
      </c>
      <c r="L55" s="142">
        <f t="shared" si="7"/>
        <v>2.5158037462061817E-2</v>
      </c>
      <c r="M55" s="142"/>
      <c r="N55" s="143"/>
      <c r="O55" s="142"/>
      <c r="P55" s="142"/>
      <c r="Q55" s="144"/>
      <c r="R55" s="144"/>
      <c r="S55" s="144"/>
      <c r="T55" s="144"/>
    </row>
    <row r="56" spans="1:20" x14ac:dyDescent="0.3">
      <c r="A56" s="133">
        <v>39</v>
      </c>
      <c r="B56" s="134"/>
      <c r="C56" s="135" t="s">
        <v>22</v>
      </c>
      <c r="D56" s="134">
        <v>6792</v>
      </c>
      <c r="E56" s="140">
        <f t="shared" si="8"/>
        <v>83536</v>
      </c>
      <c r="F56" s="140">
        <f t="shared" si="9"/>
        <v>166252</v>
      </c>
      <c r="G56" s="150">
        <f t="shared" si="10"/>
        <v>6927.166666666667</v>
      </c>
      <c r="H56" s="140">
        <v>-243.61111111110949</v>
      </c>
      <c r="I56" s="140">
        <f t="shared" si="11"/>
        <v>6683.5555555555575</v>
      </c>
      <c r="J56" s="140">
        <f t="shared" si="5"/>
        <v>108.44444444444252</v>
      </c>
      <c r="K56" s="140">
        <f t="shared" si="6"/>
        <v>11760.197530863781</v>
      </c>
      <c r="L56" s="142">
        <f t="shared" si="7"/>
        <v>1.5966496531867273E-2</v>
      </c>
      <c r="M56" s="142"/>
      <c r="N56" s="143"/>
      <c r="O56" s="142"/>
      <c r="P56" s="142"/>
      <c r="Q56" s="144"/>
      <c r="R56" s="144"/>
      <c r="S56" s="144"/>
      <c r="T56" s="144"/>
    </row>
    <row r="57" spans="1:20" x14ac:dyDescent="0.3">
      <c r="A57" s="136">
        <v>40</v>
      </c>
      <c r="B57" s="137"/>
      <c r="C57" s="135" t="s">
        <v>23</v>
      </c>
      <c r="D57" s="137">
        <v>6587</v>
      </c>
      <c r="E57" s="140">
        <f t="shared" si="8"/>
        <v>84302</v>
      </c>
      <c r="F57" s="140">
        <f t="shared" si="9"/>
        <v>167838</v>
      </c>
      <c r="G57" s="150">
        <f t="shared" si="10"/>
        <v>6993.25</v>
      </c>
      <c r="H57" s="140">
        <v>-431.11111111110949</v>
      </c>
      <c r="I57" s="140">
        <f t="shared" si="11"/>
        <v>6562.1388888888905</v>
      </c>
      <c r="J57" s="140">
        <f t="shared" si="5"/>
        <v>24.861111111109494</v>
      </c>
      <c r="K57" s="140">
        <f t="shared" si="6"/>
        <v>618.07484567893198</v>
      </c>
      <c r="L57" s="142">
        <f t="shared" si="7"/>
        <v>3.7742691834081517E-3</v>
      </c>
      <c r="M57" s="142"/>
      <c r="N57" s="143"/>
      <c r="O57" s="142"/>
      <c r="P57" s="142"/>
      <c r="Q57" s="144"/>
      <c r="R57" s="144"/>
      <c r="S57" s="144"/>
      <c r="T57" s="144"/>
    </row>
    <row r="58" spans="1:20" x14ac:dyDescent="0.3">
      <c r="A58" s="133">
        <v>41</v>
      </c>
      <c r="B58" s="134"/>
      <c r="C58" s="135" t="s">
        <v>24</v>
      </c>
      <c r="D58" s="134">
        <v>6918</v>
      </c>
      <c r="E58" s="140">
        <f t="shared" si="8"/>
        <v>84954</v>
      </c>
      <c r="F58" s="140">
        <f t="shared" si="9"/>
        <v>169256</v>
      </c>
      <c r="G58" s="150">
        <f t="shared" si="10"/>
        <v>7052.333333333333</v>
      </c>
      <c r="H58" s="140">
        <v>-104.61111111110949</v>
      </c>
      <c r="I58" s="140">
        <f t="shared" si="11"/>
        <v>6947.7222222222235</v>
      </c>
      <c r="J58" s="140">
        <f t="shared" si="5"/>
        <v>29.722222222223536</v>
      </c>
      <c r="K58" s="140">
        <f t="shared" si="6"/>
        <v>883.41049382723861</v>
      </c>
      <c r="L58" s="142">
        <f t="shared" si="7"/>
        <v>4.2963605409400887E-3</v>
      </c>
      <c r="M58" s="142"/>
      <c r="N58" s="143"/>
      <c r="O58" s="142"/>
      <c r="P58" s="142"/>
      <c r="Q58" s="144"/>
      <c r="R58" s="144"/>
      <c r="S58" s="144"/>
      <c r="T58" s="144"/>
    </row>
    <row r="59" spans="1:20" x14ac:dyDescent="0.3">
      <c r="A59" s="136">
        <v>42</v>
      </c>
      <c r="B59" s="137"/>
      <c r="C59" s="135" t="s">
        <v>25</v>
      </c>
      <c r="D59" s="137">
        <v>6920</v>
      </c>
      <c r="E59" s="140">
        <f t="shared" si="8"/>
        <v>85602</v>
      </c>
      <c r="F59" s="140">
        <f t="shared" si="9"/>
        <v>170556</v>
      </c>
      <c r="G59" s="150">
        <f t="shared" si="10"/>
        <v>7106.5</v>
      </c>
      <c r="H59" s="140">
        <v>-171.44444444444252</v>
      </c>
      <c r="I59" s="140">
        <f t="shared" si="11"/>
        <v>6935.0555555555575</v>
      </c>
      <c r="J59" s="140">
        <f t="shared" si="5"/>
        <v>15.055555555557476</v>
      </c>
      <c r="K59" s="140">
        <f t="shared" si="6"/>
        <v>226.66975308647756</v>
      </c>
      <c r="L59" s="142">
        <f t="shared" si="7"/>
        <v>2.1756583172770918E-3</v>
      </c>
      <c r="M59" s="142"/>
      <c r="N59" s="143"/>
      <c r="O59" s="142"/>
      <c r="P59" s="142"/>
      <c r="Q59" s="144"/>
      <c r="R59" s="144"/>
      <c r="S59" s="144"/>
      <c r="T59" s="144"/>
    </row>
    <row r="60" spans="1:20" x14ac:dyDescent="0.3">
      <c r="A60" s="133">
        <v>43</v>
      </c>
      <c r="B60" s="134"/>
      <c r="C60" s="135" t="s">
        <v>26</v>
      </c>
      <c r="D60" s="134">
        <v>7030</v>
      </c>
      <c r="E60" s="140">
        <f t="shared" si="8"/>
        <v>86317</v>
      </c>
      <c r="F60" s="140">
        <f t="shared" si="9"/>
        <v>171919</v>
      </c>
      <c r="G60" s="150">
        <f t="shared" si="10"/>
        <v>7163.291666666667</v>
      </c>
      <c r="H60" s="140">
        <v>-30.944444444442524</v>
      </c>
      <c r="I60" s="140">
        <f t="shared" si="11"/>
        <v>7132.3472222222244</v>
      </c>
      <c r="J60" s="140">
        <f t="shared" si="5"/>
        <v>102.34722222222445</v>
      </c>
      <c r="K60" s="140">
        <f t="shared" si="6"/>
        <v>10474.953896605393</v>
      </c>
      <c r="L60" s="142">
        <f t="shared" si="7"/>
        <v>1.4558637584953691E-2</v>
      </c>
      <c r="M60" s="142"/>
      <c r="N60" s="143"/>
      <c r="O60" s="142"/>
      <c r="P60" s="142"/>
      <c r="Q60" s="144"/>
      <c r="R60" s="144"/>
      <c r="S60" s="144"/>
      <c r="T60" s="144"/>
    </row>
    <row r="61" spans="1:20" x14ac:dyDescent="0.3">
      <c r="A61" s="136">
        <v>44</v>
      </c>
      <c r="B61" s="137"/>
      <c r="C61" s="135" t="s">
        <v>27</v>
      </c>
      <c r="D61" s="137">
        <v>7491</v>
      </c>
      <c r="E61" s="140">
        <f t="shared" si="8"/>
        <v>86977</v>
      </c>
      <c r="F61" s="140">
        <f t="shared" si="9"/>
        <v>173294</v>
      </c>
      <c r="G61" s="150">
        <f t="shared" si="10"/>
        <v>7220.583333333333</v>
      </c>
      <c r="H61" s="140">
        <v>274.55555555555748</v>
      </c>
      <c r="I61" s="140">
        <f t="shared" si="11"/>
        <v>7495.1388888888905</v>
      </c>
      <c r="J61" s="140">
        <f t="shared" si="5"/>
        <v>4.1388888888905058</v>
      </c>
      <c r="K61" s="140">
        <f t="shared" si="6"/>
        <v>17.130401234581285</v>
      </c>
      <c r="L61" s="142">
        <f t="shared" si="7"/>
        <v>5.5251486969570233E-4</v>
      </c>
      <c r="M61" s="142"/>
      <c r="N61" s="143"/>
      <c r="O61" s="142"/>
      <c r="P61" s="142"/>
      <c r="Q61" s="144"/>
      <c r="R61" s="144"/>
      <c r="S61" s="144"/>
      <c r="T61" s="144"/>
    </row>
    <row r="62" spans="1:20" x14ac:dyDescent="0.3">
      <c r="A62" s="133">
        <v>45</v>
      </c>
      <c r="B62" s="134"/>
      <c r="C62" s="135" t="s">
        <v>28</v>
      </c>
      <c r="D62" s="134">
        <v>7305</v>
      </c>
      <c r="E62" s="140">
        <f t="shared" si="8"/>
        <v>87716</v>
      </c>
      <c r="F62" s="140">
        <f t="shared" si="9"/>
        <v>174693</v>
      </c>
      <c r="G62" s="150">
        <f t="shared" si="10"/>
        <v>7278.875</v>
      </c>
      <c r="H62" s="140">
        <v>-16.944444444442524</v>
      </c>
      <c r="I62" s="140">
        <f t="shared" si="11"/>
        <v>7261.9305555555575</v>
      </c>
      <c r="J62" s="140">
        <f t="shared" si="5"/>
        <v>43.069444444442524</v>
      </c>
      <c r="K62" s="140">
        <f t="shared" si="6"/>
        <v>1854.9770447529211</v>
      </c>
      <c r="L62" s="142">
        <f t="shared" si="7"/>
        <v>5.8958856186779639E-3</v>
      </c>
      <c r="M62" s="142"/>
      <c r="N62" s="143"/>
      <c r="O62" s="142"/>
      <c r="P62" s="142"/>
      <c r="Q62" s="144"/>
      <c r="R62" s="144"/>
      <c r="S62" s="144"/>
      <c r="T62" s="144"/>
    </row>
    <row r="63" spans="1:20" x14ac:dyDescent="0.3">
      <c r="A63" s="136">
        <v>46</v>
      </c>
      <c r="B63" s="137"/>
      <c r="C63" s="135" t="s">
        <v>29</v>
      </c>
      <c r="D63" s="137">
        <v>7571</v>
      </c>
      <c r="E63" s="140">
        <f t="shared" si="8"/>
        <v>88462</v>
      </c>
      <c r="F63" s="140">
        <f t="shared" si="9"/>
        <v>176178</v>
      </c>
      <c r="G63" s="150">
        <f t="shared" si="10"/>
        <v>7340.75</v>
      </c>
      <c r="H63" s="140">
        <v>256.55555555555748</v>
      </c>
      <c r="I63" s="140">
        <f t="shared" si="11"/>
        <v>7597.3055555555575</v>
      </c>
      <c r="J63" s="140">
        <f t="shared" si="5"/>
        <v>26.305555555557476</v>
      </c>
      <c r="K63" s="140">
        <f t="shared" si="6"/>
        <v>691.98225308652081</v>
      </c>
      <c r="L63" s="142">
        <f t="shared" si="7"/>
        <v>3.4745153289601738E-3</v>
      </c>
      <c r="M63" s="142"/>
      <c r="N63" s="143"/>
      <c r="O63" s="142"/>
      <c r="P63" s="142"/>
      <c r="Q63" s="144"/>
      <c r="R63" s="144"/>
      <c r="S63" s="144"/>
      <c r="T63" s="144"/>
    </row>
    <row r="64" spans="1:20" x14ac:dyDescent="0.3">
      <c r="A64" s="133">
        <v>47</v>
      </c>
      <c r="B64" s="134"/>
      <c r="C64" s="135" t="s">
        <v>30</v>
      </c>
      <c r="D64" s="134">
        <v>8013</v>
      </c>
      <c r="E64" s="140">
        <f t="shared" si="8"/>
        <v>89229</v>
      </c>
      <c r="F64" s="140">
        <f t="shared" si="9"/>
        <v>177691</v>
      </c>
      <c r="G64" s="150">
        <f t="shared" si="10"/>
        <v>7403.791666666667</v>
      </c>
      <c r="H64" s="140">
        <v>752.38888888889051</v>
      </c>
      <c r="I64" s="140">
        <f t="shared" si="11"/>
        <v>8156.1805555555575</v>
      </c>
      <c r="J64" s="140">
        <f t="shared" si="5"/>
        <v>143.18055555555748</v>
      </c>
      <c r="K64" s="140">
        <f t="shared" si="6"/>
        <v>20500.671489198081</v>
      </c>
      <c r="L64" s="142">
        <f t="shared" si="7"/>
        <v>1.7868533078192621E-2</v>
      </c>
      <c r="M64" s="142"/>
      <c r="N64" s="143"/>
      <c r="O64" s="142"/>
      <c r="P64" s="142"/>
      <c r="Q64" s="144"/>
      <c r="R64" s="144"/>
      <c r="S64" s="144"/>
      <c r="T64" s="144"/>
    </row>
    <row r="65" spans="1:20" x14ac:dyDescent="0.3">
      <c r="A65" s="136">
        <v>48</v>
      </c>
      <c r="B65" s="137"/>
      <c r="C65" s="135" t="s">
        <v>31</v>
      </c>
      <c r="D65" s="137">
        <v>8727</v>
      </c>
      <c r="E65" s="140">
        <f t="shared" si="8"/>
        <v>89827</v>
      </c>
      <c r="F65" s="140">
        <f t="shared" si="9"/>
        <v>179056</v>
      </c>
      <c r="G65" s="150">
        <f t="shared" si="10"/>
        <v>7460.666666666667</v>
      </c>
      <c r="H65" s="140">
        <v>1372.3888888888914</v>
      </c>
      <c r="I65" s="140">
        <f t="shared" si="11"/>
        <v>8833.0555555555584</v>
      </c>
      <c r="J65" s="140">
        <f t="shared" si="5"/>
        <v>106.05555555555839</v>
      </c>
      <c r="K65" s="140">
        <f t="shared" si="6"/>
        <v>11247.780864198132</v>
      </c>
      <c r="L65" s="142">
        <f t="shared" si="7"/>
        <v>1.2152578842163217E-2</v>
      </c>
      <c r="M65" s="142"/>
      <c r="N65" s="143"/>
      <c r="O65" s="142"/>
      <c r="P65" s="142"/>
      <c r="Q65" s="144"/>
      <c r="R65" s="144"/>
      <c r="S65" s="144"/>
      <c r="T65" s="144"/>
    </row>
    <row r="66" spans="1:20" x14ac:dyDescent="0.3">
      <c r="A66" s="133">
        <v>49</v>
      </c>
      <c r="B66" s="134">
        <v>2000</v>
      </c>
      <c r="C66" s="135" t="s">
        <v>20</v>
      </c>
      <c r="D66" s="134">
        <v>6776</v>
      </c>
      <c r="E66" s="140">
        <f t="shared" si="8"/>
        <v>90469</v>
      </c>
      <c r="F66" s="140">
        <f t="shared" si="9"/>
        <v>180296</v>
      </c>
      <c r="G66" s="150">
        <f t="shared" si="10"/>
        <v>7512.333333333333</v>
      </c>
      <c r="H66" s="140">
        <v>-826.11111111110949</v>
      </c>
      <c r="I66" s="140">
        <f t="shared" si="11"/>
        <v>6686.2222222222235</v>
      </c>
      <c r="J66" s="140">
        <f t="shared" si="5"/>
        <v>89.777777777776464</v>
      </c>
      <c r="K66" s="140">
        <f t="shared" si="6"/>
        <v>8060.0493827158134</v>
      </c>
      <c r="L66" s="142">
        <f t="shared" si="7"/>
        <v>1.3249376885740329E-2</v>
      </c>
      <c r="M66" s="142"/>
      <c r="N66" s="143"/>
      <c r="O66" s="142"/>
      <c r="P66" s="142"/>
      <c r="Q66" s="144"/>
      <c r="R66" s="144"/>
      <c r="S66" s="144"/>
      <c r="T66" s="144"/>
    </row>
    <row r="67" spans="1:20" x14ac:dyDescent="0.3">
      <c r="A67" s="136">
        <v>50</v>
      </c>
      <c r="B67" s="137"/>
      <c r="C67" s="135" t="s">
        <v>21</v>
      </c>
      <c r="D67" s="137">
        <v>6847</v>
      </c>
      <c r="E67" s="140">
        <f t="shared" si="8"/>
        <v>90970</v>
      </c>
      <c r="F67" s="140">
        <f t="shared" si="9"/>
        <v>181439</v>
      </c>
      <c r="G67" s="150">
        <f t="shared" si="10"/>
        <v>7559.958333333333</v>
      </c>
      <c r="H67" s="140">
        <v>-831.11111111110949</v>
      </c>
      <c r="I67" s="140">
        <f t="shared" si="11"/>
        <v>6728.8472222222235</v>
      </c>
      <c r="J67" s="140">
        <f t="shared" si="5"/>
        <v>118.15277777777646</v>
      </c>
      <c r="K67" s="140">
        <f t="shared" si="6"/>
        <v>13960.078896604628</v>
      </c>
      <c r="L67" s="142">
        <f t="shared" si="7"/>
        <v>1.7256138130243386E-2</v>
      </c>
      <c r="M67" s="142"/>
      <c r="N67" s="143"/>
      <c r="O67" s="142"/>
      <c r="P67" s="142"/>
      <c r="Q67" s="144"/>
      <c r="R67" s="144"/>
      <c r="S67" s="144"/>
      <c r="T67" s="144"/>
    </row>
    <row r="68" spans="1:20" x14ac:dyDescent="0.3">
      <c r="A68" s="133">
        <v>51</v>
      </c>
      <c r="B68" s="134"/>
      <c r="C68" s="135" t="s">
        <v>22</v>
      </c>
      <c r="D68" s="134">
        <v>7531</v>
      </c>
      <c r="E68" s="140">
        <f t="shared" si="8"/>
        <v>91310</v>
      </c>
      <c r="F68" s="140">
        <f t="shared" si="9"/>
        <v>182280</v>
      </c>
      <c r="G68" s="150">
        <f t="shared" si="10"/>
        <v>7595</v>
      </c>
      <c r="H68" s="140">
        <v>-243.61111111110949</v>
      </c>
      <c r="I68" s="140">
        <f t="shared" si="11"/>
        <v>7351.3888888888905</v>
      </c>
      <c r="J68" s="140">
        <f t="shared" si="5"/>
        <v>179.61111111110949</v>
      </c>
      <c r="K68" s="140">
        <f t="shared" si="6"/>
        <v>32260.151234567322</v>
      </c>
      <c r="L68" s="142">
        <f t="shared" si="7"/>
        <v>2.384956992578801E-2</v>
      </c>
      <c r="M68" s="142"/>
      <c r="N68" s="143"/>
      <c r="O68" s="142"/>
      <c r="P68" s="142"/>
      <c r="Q68" s="144"/>
      <c r="R68" s="144"/>
      <c r="S68" s="144"/>
      <c r="T68" s="144"/>
    </row>
    <row r="69" spans="1:20" x14ac:dyDescent="0.3">
      <c r="A69" s="136">
        <v>52</v>
      </c>
      <c r="B69" s="137"/>
      <c r="C69" s="135" t="s">
        <v>23</v>
      </c>
      <c r="D69" s="137">
        <v>7333</v>
      </c>
      <c r="E69" s="140">
        <f t="shared" si="8"/>
        <v>91662</v>
      </c>
      <c r="F69" s="140">
        <f t="shared" si="9"/>
        <v>182972</v>
      </c>
      <c r="G69" s="150">
        <f t="shared" si="10"/>
        <v>7623.833333333333</v>
      </c>
      <c r="H69" s="140">
        <v>-431.11111111110949</v>
      </c>
      <c r="I69" s="140">
        <f t="shared" si="11"/>
        <v>7192.7222222222235</v>
      </c>
      <c r="J69" s="140">
        <f t="shared" si="5"/>
        <v>140.27777777777646</v>
      </c>
      <c r="K69" s="140">
        <f t="shared" si="6"/>
        <v>19677.854938271237</v>
      </c>
      <c r="L69" s="142">
        <f t="shared" si="7"/>
        <v>1.9129657408669912E-2</v>
      </c>
      <c r="M69" s="142"/>
      <c r="N69" s="143"/>
      <c r="O69" s="142"/>
      <c r="P69" s="142"/>
      <c r="Q69" s="144"/>
      <c r="R69" s="144"/>
      <c r="S69" s="144"/>
      <c r="T69" s="144"/>
    </row>
    <row r="70" spans="1:20" x14ac:dyDescent="0.3">
      <c r="A70" s="133">
        <v>53</v>
      </c>
      <c r="B70" s="134"/>
      <c r="C70" s="135" t="s">
        <v>24</v>
      </c>
      <c r="D70" s="134">
        <v>7685</v>
      </c>
      <c r="E70" s="140">
        <f t="shared" si="8"/>
        <v>91946</v>
      </c>
      <c r="F70" s="140">
        <f t="shared" si="9"/>
        <v>183608</v>
      </c>
      <c r="G70" s="150">
        <f t="shared" si="10"/>
        <v>7650.333333333333</v>
      </c>
      <c r="H70" s="140">
        <v>-104.61111111110949</v>
      </c>
      <c r="I70" s="140">
        <f t="shared" si="11"/>
        <v>7545.7222222222235</v>
      </c>
      <c r="J70" s="140">
        <f t="shared" si="5"/>
        <v>139.27777777777646</v>
      </c>
      <c r="K70" s="140">
        <f t="shared" si="6"/>
        <v>19398.299382715682</v>
      </c>
      <c r="L70" s="142">
        <f t="shared" si="7"/>
        <v>1.8123328272970262E-2</v>
      </c>
      <c r="M70" s="142"/>
      <c r="N70" s="143"/>
      <c r="O70" s="142"/>
      <c r="P70" s="142"/>
      <c r="Q70" s="144"/>
      <c r="R70" s="144"/>
      <c r="S70" s="144"/>
      <c r="T70" s="144"/>
    </row>
    <row r="71" spans="1:20" x14ac:dyDescent="0.3">
      <c r="A71" s="136">
        <v>54</v>
      </c>
      <c r="B71" s="137"/>
      <c r="C71" s="135" t="s">
        <v>25</v>
      </c>
      <c r="D71" s="137">
        <v>7518</v>
      </c>
      <c r="E71" s="140">
        <f t="shared" si="8"/>
        <v>91756</v>
      </c>
      <c r="F71" s="140">
        <f t="shared" si="9"/>
        <v>183702</v>
      </c>
      <c r="G71" s="150">
        <f t="shared" si="10"/>
        <v>7654.25</v>
      </c>
      <c r="H71" s="140">
        <v>-171.44444444444252</v>
      </c>
      <c r="I71" s="140">
        <f t="shared" si="11"/>
        <v>7482.8055555555575</v>
      </c>
      <c r="J71" s="140">
        <f t="shared" si="5"/>
        <v>35.194444444442524</v>
      </c>
      <c r="K71" s="140">
        <f t="shared" si="6"/>
        <v>1238.6489197529513</v>
      </c>
      <c r="L71" s="142">
        <f t="shared" si="7"/>
        <v>4.6813573349883649E-3</v>
      </c>
      <c r="M71" s="142"/>
      <c r="N71" s="143"/>
      <c r="O71" s="142"/>
      <c r="P71" s="142"/>
      <c r="Q71" s="144"/>
      <c r="R71" s="144"/>
      <c r="S71" s="144"/>
      <c r="T71" s="144"/>
    </row>
    <row r="72" spans="1:20" x14ac:dyDescent="0.3">
      <c r="A72" s="133">
        <v>55</v>
      </c>
      <c r="B72" s="134"/>
      <c r="C72" s="135" t="s">
        <v>26</v>
      </c>
      <c r="D72" s="134">
        <v>7672</v>
      </c>
      <c r="E72" s="140">
        <f t="shared" si="8"/>
        <v>91985</v>
      </c>
      <c r="F72" s="140">
        <f t="shared" si="9"/>
        <v>183741</v>
      </c>
      <c r="G72" s="150">
        <f t="shared" si="10"/>
        <v>7655.875</v>
      </c>
      <c r="H72" s="140">
        <v>-30.944444444442524</v>
      </c>
      <c r="I72" s="140">
        <f t="shared" si="11"/>
        <v>7624.9305555555575</v>
      </c>
      <c r="J72" s="140">
        <f t="shared" si="5"/>
        <v>47.069444444442524</v>
      </c>
      <c r="K72" s="140">
        <f t="shared" si="6"/>
        <v>2215.532600308461</v>
      </c>
      <c r="L72" s="142">
        <f t="shared" si="7"/>
        <v>6.1352247711734262E-3</v>
      </c>
      <c r="M72" s="142"/>
      <c r="N72" s="143"/>
      <c r="O72" s="142"/>
      <c r="P72" s="142"/>
      <c r="Q72" s="144"/>
      <c r="R72" s="144"/>
      <c r="S72" s="144"/>
      <c r="T72" s="144"/>
    </row>
    <row r="73" spans="1:20" x14ac:dyDescent="0.3">
      <c r="A73" s="136">
        <v>56</v>
      </c>
      <c r="B73" s="137"/>
      <c r="C73" s="135" t="s">
        <v>27</v>
      </c>
      <c r="D73" s="137">
        <v>7992</v>
      </c>
      <c r="E73" s="140">
        <f t="shared" si="8"/>
        <v>91993</v>
      </c>
      <c r="F73" s="140">
        <f t="shared" si="9"/>
        <v>183978</v>
      </c>
      <c r="G73" s="150">
        <f t="shared" si="10"/>
        <v>7665.75</v>
      </c>
      <c r="H73" s="140">
        <v>274.55555555555748</v>
      </c>
      <c r="I73" s="140">
        <f t="shared" si="11"/>
        <v>7940.3055555555575</v>
      </c>
      <c r="J73" s="140">
        <f t="shared" si="5"/>
        <v>51.694444444442524</v>
      </c>
      <c r="K73" s="140">
        <f t="shared" si="6"/>
        <v>2672.3155864195546</v>
      </c>
      <c r="L73" s="142">
        <f t="shared" si="7"/>
        <v>6.4682738293846999E-3</v>
      </c>
      <c r="M73" s="142"/>
      <c r="N73" s="143"/>
      <c r="O73" s="142"/>
      <c r="P73" s="142"/>
      <c r="Q73" s="144"/>
      <c r="R73" s="144"/>
      <c r="S73" s="144"/>
      <c r="T73" s="144"/>
    </row>
    <row r="74" spans="1:20" x14ac:dyDescent="0.3">
      <c r="A74" s="133">
        <v>57</v>
      </c>
      <c r="B74" s="134"/>
      <c r="C74" s="135" t="s">
        <v>28</v>
      </c>
      <c r="D74" s="134">
        <v>7645</v>
      </c>
      <c r="E74" s="140">
        <f t="shared" si="8"/>
        <v>91882</v>
      </c>
      <c r="F74" s="140">
        <f t="shared" si="9"/>
        <v>183875</v>
      </c>
      <c r="G74" s="150">
        <f t="shared" si="10"/>
        <v>7661.458333333333</v>
      </c>
      <c r="H74" s="140">
        <v>-16.944444444442524</v>
      </c>
      <c r="I74" s="140">
        <f t="shared" si="11"/>
        <v>7644.5138888888905</v>
      </c>
      <c r="J74" s="140">
        <f t="shared" si="5"/>
        <v>0.48611111110949423</v>
      </c>
      <c r="K74" s="140">
        <f t="shared" si="6"/>
        <v>0.23630401234410706</v>
      </c>
      <c r="L74" s="142">
        <f t="shared" si="7"/>
        <v>6.3585495239959998E-5</v>
      </c>
      <c r="M74" s="142"/>
      <c r="N74" s="143"/>
      <c r="O74" s="142"/>
      <c r="P74" s="142"/>
      <c r="Q74" s="144"/>
      <c r="R74" s="144"/>
      <c r="S74" s="144"/>
      <c r="T74" s="144"/>
    </row>
    <row r="75" spans="1:20" x14ac:dyDescent="0.3">
      <c r="A75" s="136">
        <v>58</v>
      </c>
      <c r="B75" s="137"/>
      <c r="C75" s="135" t="s">
        <v>29</v>
      </c>
      <c r="D75" s="137">
        <v>7923</v>
      </c>
      <c r="E75" s="140">
        <f t="shared" si="8"/>
        <v>91732</v>
      </c>
      <c r="F75" s="140">
        <f t="shared" si="9"/>
        <v>183614</v>
      </c>
      <c r="G75" s="150">
        <f t="shared" si="10"/>
        <v>7650.583333333333</v>
      </c>
      <c r="H75" s="140">
        <v>256.55555555555748</v>
      </c>
      <c r="I75" s="140">
        <f t="shared" si="11"/>
        <v>7907.1388888888905</v>
      </c>
      <c r="J75" s="140">
        <f t="shared" si="5"/>
        <v>15.861111111109494</v>
      </c>
      <c r="K75" s="140">
        <f t="shared" si="6"/>
        <v>251.57484567896105</v>
      </c>
      <c r="L75" s="142">
        <f t="shared" si="7"/>
        <v>2.0019072461327143E-3</v>
      </c>
      <c r="M75" s="142"/>
      <c r="N75" s="143"/>
      <c r="O75" s="142"/>
      <c r="P75" s="142"/>
      <c r="Q75" s="144"/>
      <c r="R75" s="144"/>
      <c r="S75" s="144"/>
      <c r="T75" s="144"/>
    </row>
    <row r="76" spans="1:20" x14ac:dyDescent="0.3">
      <c r="A76" s="133">
        <v>59</v>
      </c>
      <c r="B76" s="134"/>
      <c r="C76" s="135" t="s">
        <v>30</v>
      </c>
      <c r="D76" s="134">
        <v>8297</v>
      </c>
      <c r="E76" s="140">
        <f t="shared" si="8"/>
        <v>91601</v>
      </c>
      <c r="F76" s="140">
        <f t="shared" si="9"/>
        <v>183333</v>
      </c>
      <c r="G76" s="150">
        <f t="shared" si="10"/>
        <v>7638.875</v>
      </c>
      <c r="H76" s="140">
        <v>752.38888888889051</v>
      </c>
      <c r="I76" s="140">
        <f t="shared" si="11"/>
        <v>8391.2638888888905</v>
      </c>
      <c r="J76" s="140">
        <f t="shared" si="5"/>
        <v>94.263888888890506</v>
      </c>
      <c r="K76" s="140">
        <f t="shared" si="6"/>
        <v>8885.6807484570945</v>
      </c>
      <c r="L76" s="142">
        <f t="shared" si="7"/>
        <v>1.1361201505229662E-2</v>
      </c>
      <c r="M76" s="142"/>
      <c r="N76" s="143"/>
      <c r="O76" s="142"/>
      <c r="P76" s="142"/>
      <c r="Q76" s="144"/>
      <c r="R76" s="144"/>
      <c r="S76" s="144"/>
      <c r="T76" s="144"/>
    </row>
    <row r="77" spans="1:20" x14ac:dyDescent="0.3">
      <c r="A77" s="136">
        <v>60</v>
      </c>
      <c r="B77" s="137"/>
      <c r="C77" s="135" t="s">
        <v>31</v>
      </c>
      <c r="D77" s="137">
        <v>8537</v>
      </c>
      <c r="E77" s="140">
        <f t="shared" si="8"/>
        <v>91558</v>
      </c>
      <c r="F77" s="140">
        <f t="shared" si="9"/>
        <v>183159</v>
      </c>
      <c r="G77" s="150">
        <f t="shared" si="10"/>
        <v>7631.625</v>
      </c>
      <c r="H77" s="140">
        <v>1372.3888888888914</v>
      </c>
      <c r="I77" s="140">
        <f t="shared" si="11"/>
        <v>9004.0138888888905</v>
      </c>
      <c r="J77" s="140">
        <f t="shared" si="5"/>
        <v>467.01388888889051</v>
      </c>
      <c r="K77" s="140">
        <f t="shared" si="6"/>
        <v>218101.97241512497</v>
      </c>
      <c r="L77" s="142">
        <f t="shared" si="7"/>
        <v>5.4704684185181034E-2</v>
      </c>
      <c r="M77" s="142"/>
      <c r="N77" s="143"/>
      <c r="O77" s="142"/>
      <c r="P77" s="142"/>
      <c r="Q77" s="144"/>
      <c r="R77" s="144"/>
      <c r="S77" s="144"/>
      <c r="T77" s="144"/>
    </row>
    <row r="78" spans="1:20" x14ac:dyDescent="0.3">
      <c r="A78" s="133">
        <v>61</v>
      </c>
      <c r="B78" s="134">
        <v>2001</v>
      </c>
      <c r="C78" s="135" t="s">
        <v>20</v>
      </c>
      <c r="D78" s="134">
        <v>7005</v>
      </c>
      <c r="E78" s="140">
        <f t="shared" si="8"/>
        <v>91573</v>
      </c>
      <c r="F78" s="140">
        <f t="shared" si="9"/>
        <v>183131</v>
      </c>
      <c r="G78" s="150">
        <f t="shared" si="10"/>
        <v>7630.458333333333</v>
      </c>
      <c r="H78" s="140">
        <v>-826.11111111110949</v>
      </c>
      <c r="I78" s="140">
        <f t="shared" si="11"/>
        <v>6804.3472222222235</v>
      </c>
      <c r="J78" s="140">
        <f t="shared" si="5"/>
        <v>200.65277777777646</v>
      </c>
      <c r="K78" s="140">
        <f t="shared" si="6"/>
        <v>40261.537229937741</v>
      </c>
      <c r="L78" s="142">
        <f t="shared" si="7"/>
        <v>2.8644222380838896E-2</v>
      </c>
      <c r="M78" s="142"/>
      <c r="N78" s="143"/>
      <c r="O78" s="142"/>
      <c r="P78" s="142"/>
      <c r="Q78" s="144"/>
      <c r="R78" s="144"/>
      <c r="S78" s="144"/>
      <c r="T78" s="144"/>
    </row>
    <row r="79" spans="1:20" x14ac:dyDescent="0.3">
      <c r="A79" s="136">
        <v>62</v>
      </c>
      <c r="B79" s="137"/>
      <c r="C79" s="135" t="s">
        <v>21</v>
      </c>
      <c r="D79" s="137">
        <v>6855</v>
      </c>
      <c r="E79" s="140">
        <f t="shared" si="8"/>
        <v>91503</v>
      </c>
      <c r="F79" s="140">
        <f t="shared" si="9"/>
        <v>183076</v>
      </c>
      <c r="G79" s="150">
        <f t="shared" si="10"/>
        <v>7628.166666666667</v>
      </c>
      <c r="H79" s="140">
        <v>-831.11111111110949</v>
      </c>
      <c r="I79" s="140">
        <f t="shared" si="11"/>
        <v>6797.0555555555575</v>
      </c>
      <c r="J79" s="140">
        <f t="shared" si="5"/>
        <v>57.944444444442524</v>
      </c>
      <c r="K79" s="140">
        <f t="shared" si="6"/>
        <v>3357.5586419750862</v>
      </c>
      <c r="L79" s="142">
        <f t="shared" si="7"/>
        <v>8.4528730042950431E-3</v>
      </c>
      <c r="M79" s="142"/>
      <c r="N79" s="143"/>
      <c r="O79" s="142"/>
      <c r="P79" s="142"/>
      <c r="Q79" s="144"/>
      <c r="R79" s="144"/>
      <c r="S79" s="144"/>
      <c r="T79" s="144"/>
    </row>
    <row r="80" spans="1:20" x14ac:dyDescent="0.3">
      <c r="A80" s="133">
        <v>63</v>
      </c>
      <c r="B80" s="134"/>
      <c r="C80" s="135" t="s">
        <v>22</v>
      </c>
      <c r="D80" s="134">
        <v>7420</v>
      </c>
      <c r="E80" s="140">
        <f t="shared" si="8"/>
        <v>91284</v>
      </c>
      <c r="F80" s="140">
        <f t="shared" si="9"/>
        <v>182787</v>
      </c>
      <c r="G80" s="150">
        <f t="shared" si="10"/>
        <v>7616.125</v>
      </c>
      <c r="H80" s="140">
        <v>-243.61111111110949</v>
      </c>
      <c r="I80" s="140">
        <f t="shared" si="11"/>
        <v>7372.5138888888905</v>
      </c>
      <c r="J80" s="140">
        <f t="shared" si="5"/>
        <v>47.486111111109494</v>
      </c>
      <c r="K80" s="140">
        <f t="shared" si="6"/>
        <v>2254.9307484566366</v>
      </c>
      <c r="L80" s="142">
        <f t="shared" si="7"/>
        <v>6.3997454327640825E-3</v>
      </c>
      <c r="M80" s="142"/>
      <c r="N80" s="143"/>
      <c r="O80" s="142"/>
      <c r="P80" s="142"/>
      <c r="Q80" s="144"/>
      <c r="R80" s="144"/>
      <c r="S80" s="144"/>
      <c r="T80" s="144"/>
    </row>
    <row r="81" spans="1:20" x14ac:dyDescent="0.3">
      <c r="A81" s="136">
        <v>64</v>
      </c>
      <c r="B81" s="137"/>
      <c r="C81" s="135" t="s">
        <v>23</v>
      </c>
      <c r="D81" s="137">
        <v>7183</v>
      </c>
      <c r="E81" s="140">
        <f t="shared" si="8"/>
        <v>91097</v>
      </c>
      <c r="F81" s="140">
        <f t="shared" si="9"/>
        <v>182381</v>
      </c>
      <c r="G81" s="150">
        <f t="shared" si="10"/>
        <v>7599.208333333333</v>
      </c>
      <c r="H81" s="140">
        <v>-431.11111111110949</v>
      </c>
      <c r="I81" s="140">
        <f t="shared" si="11"/>
        <v>7168.0972222222235</v>
      </c>
      <c r="J81" s="140">
        <f t="shared" si="5"/>
        <v>14.902777777776464</v>
      </c>
      <c r="K81" s="140">
        <f t="shared" si="6"/>
        <v>222.092785493788</v>
      </c>
      <c r="L81" s="142">
        <f t="shared" si="7"/>
        <v>2.0747289124010112E-3</v>
      </c>
      <c r="M81" s="142"/>
      <c r="N81" s="143"/>
      <c r="O81" s="142"/>
      <c r="P81" s="142"/>
      <c r="Q81" s="144"/>
      <c r="R81" s="144"/>
      <c r="S81" s="144"/>
      <c r="T81" s="144"/>
    </row>
    <row r="82" spans="1:20" x14ac:dyDescent="0.3">
      <c r="A82" s="133">
        <v>65</v>
      </c>
      <c r="B82" s="134"/>
      <c r="C82" s="135" t="s">
        <v>24</v>
      </c>
      <c r="D82" s="134">
        <v>7554</v>
      </c>
      <c r="E82" s="140">
        <f t="shared" si="8"/>
        <v>91283</v>
      </c>
      <c r="F82" s="140">
        <f t="shared" si="9"/>
        <v>182380</v>
      </c>
      <c r="G82" s="150">
        <f t="shared" si="10"/>
        <v>7599.166666666667</v>
      </c>
      <c r="H82" s="140">
        <v>-104.61111111110949</v>
      </c>
      <c r="I82" s="140">
        <f t="shared" si="11"/>
        <v>7494.5555555555575</v>
      </c>
      <c r="J82" s="140">
        <f t="shared" si="5"/>
        <v>59.444444444442524</v>
      </c>
      <c r="K82" s="140">
        <f t="shared" si="6"/>
        <v>3533.6419753084137</v>
      </c>
      <c r="L82" s="142">
        <f t="shared" si="7"/>
        <v>7.8692672020707604E-3</v>
      </c>
      <c r="M82" s="142"/>
      <c r="N82" s="143"/>
      <c r="O82" s="142"/>
      <c r="P82" s="142"/>
      <c r="Q82" s="144"/>
      <c r="R82" s="144"/>
      <c r="S82" s="144"/>
      <c r="T82" s="144"/>
    </row>
    <row r="83" spans="1:20" x14ac:dyDescent="0.3">
      <c r="A83" s="136">
        <v>66</v>
      </c>
      <c r="B83" s="137"/>
      <c r="C83" s="135" t="s">
        <v>25</v>
      </c>
      <c r="D83" s="137">
        <v>7475</v>
      </c>
      <c r="E83" s="140">
        <f t="shared" si="8"/>
        <v>92075</v>
      </c>
      <c r="F83" s="140">
        <f t="shared" si="9"/>
        <v>183358</v>
      </c>
      <c r="G83" s="150">
        <f t="shared" si="10"/>
        <v>7639.916666666667</v>
      </c>
      <c r="H83" s="140">
        <v>-171.44444444444252</v>
      </c>
      <c r="I83" s="140">
        <f t="shared" si="11"/>
        <v>7468.4722222222244</v>
      </c>
      <c r="J83" s="140">
        <f t="shared" ref="J83:J98" si="12">ABS(D83-I83)</f>
        <v>6.5277777777755546</v>
      </c>
      <c r="K83" s="140">
        <f t="shared" ref="K83:K98" si="13">J83^2</f>
        <v>42.611882716020361</v>
      </c>
      <c r="L83" s="142">
        <f t="shared" ref="L83:L98" si="14">J83/D83</f>
        <v>8.7328130806361938E-4</v>
      </c>
      <c r="M83" s="142"/>
      <c r="N83" s="143"/>
      <c r="O83" s="142"/>
      <c r="P83" s="142"/>
      <c r="Q83" s="144"/>
      <c r="R83" s="144"/>
      <c r="S83" s="144"/>
      <c r="T83" s="144"/>
    </row>
    <row r="84" spans="1:20" x14ac:dyDescent="0.3">
      <c r="A84" s="133">
        <v>67</v>
      </c>
      <c r="B84" s="134"/>
      <c r="C84" s="135" t="s">
        <v>26</v>
      </c>
      <c r="D84" s="134">
        <v>7687</v>
      </c>
      <c r="E84" s="140">
        <f t="shared" si="8"/>
        <v>92190</v>
      </c>
      <c r="F84" s="140">
        <f t="shared" si="9"/>
        <v>184265</v>
      </c>
      <c r="G84" s="150">
        <f t="shared" si="10"/>
        <v>7677.708333333333</v>
      </c>
      <c r="H84" s="140">
        <v>-30.944444444442524</v>
      </c>
      <c r="I84" s="140">
        <f t="shared" si="11"/>
        <v>7646.7638888888905</v>
      </c>
      <c r="J84" s="140">
        <f t="shared" si="12"/>
        <v>40.236111111109494</v>
      </c>
      <c r="K84" s="140">
        <f t="shared" si="13"/>
        <v>1618.9446373455489</v>
      </c>
      <c r="L84" s="142">
        <f t="shared" si="14"/>
        <v>5.2343061156640428E-3</v>
      </c>
      <c r="M84" s="142"/>
      <c r="N84" s="143"/>
      <c r="O84" s="142"/>
      <c r="P84" s="142"/>
      <c r="Q84" s="144"/>
      <c r="R84" s="144"/>
      <c r="S84" s="144"/>
      <c r="T84" s="144"/>
    </row>
    <row r="85" spans="1:20" x14ac:dyDescent="0.3">
      <c r="A85" s="136">
        <v>68</v>
      </c>
      <c r="B85" s="137"/>
      <c r="C85" s="135" t="s">
        <v>27</v>
      </c>
      <c r="D85" s="137">
        <v>7922</v>
      </c>
      <c r="E85" s="140">
        <f t="shared" si="8"/>
        <v>92459</v>
      </c>
      <c r="F85" s="140">
        <f t="shared" si="9"/>
        <v>184649</v>
      </c>
      <c r="G85" s="150">
        <f t="shared" si="10"/>
        <v>7693.708333333333</v>
      </c>
      <c r="H85" s="140">
        <v>274.55555555555748</v>
      </c>
      <c r="I85" s="140">
        <f t="shared" si="11"/>
        <v>7968.2638888888905</v>
      </c>
      <c r="J85" s="140">
        <f t="shared" si="12"/>
        <v>46.263888888890506</v>
      </c>
      <c r="K85" s="140">
        <f t="shared" si="13"/>
        <v>2140.3474151236064</v>
      </c>
      <c r="L85" s="142">
        <f t="shared" si="14"/>
        <v>5.8399253836014268E-3</v>
      </c>
      <c r="M85" s="142"/>
      <c r="N85" s="143"/>
      <c r="O85" s="142"/>
      <c r="P85" s="142"/>
      <c r="Q85" s="144"/>
      <c r="R85" s="144"/>
      <c r="S85" s="144"/>
      <c r="T85" s="144"/>
    </row>
    <row r="86" spans="1:20" x14ac:dyDescent="0.3">
      <c r="A86" s="133">
        <v>69</v>
      </c>
      <c r="B86" s="134"/>
      <c r="C86" s="135" t="s">
        <v>28</v>
      </c>
      <c r="D86" s="134">
        <v>7426</v>
      </c>
      <c r="E86" s="140">
        <f t="shared" si="8"/>
        <v>92856</v>
      </c>
      <c r="F86" s="140">
        <f t="shared" si="9"/>
        <v>185315</v>
      </c>
      <c r="G86" s="150">
        <f t="shared" si="10"/>
        <v>7721.458333333333</v>
      </c>
      <c r="H86" s="140">
        <v>-16.944444444442524</v>
      </c>
      <c r="I86" s="140">
        <f t="shared" si="11"/>
        <v>7704.5138888888905</v>
      </c>
      <c r="J86" s="140">
        <f t="shared" si="12"/>
        <v>278.51388888889051</v>
      </c>
      <c r="K86" s="140">
        <f t="shared" si="13"/>
        <v>77569.986304013248</v>
      </c>
      <c r="L86" s="142">
        <f t="shared" si="14"/>
        <v>3.7505236855492931E-2</v>
      </c>
      <c r="M86" s="142"/>
      <c r="N86" s="143"/>
      <c r="O86" s="142"/>
      <c r="P86" s="142"/>
      <c r="Q86" s="144"/>
      <c r="R86" s="144"/>
      <c r="S86" s="144"/>
      <c r="T86" s="144"/>
    </row>
    <row r="87" spans="1:20" x14ac:dyDescent="0.3">
      <c r="A87" s="136">
        <v>70</v>
      </c>
      <c r="B87" s="137"/>
      <c r="C87" s="135" t="s">
        <v>29</v>
      </c>
      <c r="D87" s="137">
        <v>7736</v>
      </c>
      <c r="E87" s="140">
        <f t="shared" si="8"/>
        <v>93211</v>
      </c>
      <c r="F87" s="140">
        <f t="shared" si="9"/>
        <v>186067</v>
      </c>
      <c r="G87" s="150">
        <f t="shared" si="10"/>
        <v>7752.791666666667</v>
      </c>
      <c r="H87" s="140">
        <v>256.55555555555748</v>
      </c>
      <c r="I87" s="140">
        <f t="shared" si="11"/>
        <v>8009.3472222222244</v>
      </c>
      <c r="J87" s="140">
        <f t="shared" si="12"/>
        <v>273.34722222222445</v>
      </c>
      <c r="K87" s="140">
        <f t="shared" si="13"/>
        <v>74718.703896606152</v>
      </c>
      <c r="L87" s="142">
        <f t="shared" si="14"/>
        <v>3.5334439273813918E-2</v>
      </c>
      <c r="M87" s="142"/>
      <c r="N87" s="143"/>
      <c r="O87" s="142"/>
      <c r="P87" s="142"/>
      <c r="Q87" s="144"/>
      <c r="R87" s="144"/>
      <c r="S87" s="144"/>
      <c r="T87" s="144"/>
    </row>
    <row r="88" spans="1:20" x14ac:dyDescent="0.3">
      <c r="A88" s="133">
        <v>71</v>
      </c>
      <c r="B88" s="134"/>
      <c r="C88" s="135" t="s">
        <v>30</v>
      </c>
      <c r="D88" s="134">
        <v>8483</v>
      </c>
      <c r="E88" s="140">
        <f t="shared" ref="E88:E92" si="15">SUM(D83:D94)</f>
        <v>93578</v>
      </c>
      <c r="F88" s="140">
        <f t="shared" si="9"/>
        <v>186789</v>
      </c>
      <c r="G88" s="150">
        <f t="shared" si="10"/>
        <v>7782.875</v>
      </c>
      <c r="H88" s="140">
        <v>752.38888888889051</v>
      </c>
      <c r="I88" s="140">
        <f t="shared" si="11"/>
        <v>8535.2638888888905</v>
      </c>
      <c r="J88" s="140">
        <f t="shared" si="12"/>
        <v>52.263888888890506</v>
      </c>
      <c r="K88" s="140">
        <f t="shared" si="13"/>
        <v>2731.5140817902925</v>
      </c>
      <c r="L88" s="142">
        <f t="shared" si="14"/>
        <v>6.1610148401379829E-3</v>
      </c>
    </row>
    <row r="89" spans="1:20" x14ac:dyDescent="0.3">
      <c r="A89" s="136">
        <v>72</v>
      </c>
      <c r="B89" s="137"/>
      <c r="C89" s="135" t="s">
        <v>31</v>
      </c>
      <c r="D89" s="137">
        <v>9329</v>
      </c>
      <c r="E89" s="140">
        <f t="shared" si="15"/>
        <v>93860</v>
      </c>
      <c r="F89" s="140">
        <f t="shared" ref="F89:F90" si="16">SUM(E88:E89)</f>
        <v>187438</v>
      </c>
      <c r="G89" s="150">
        <f t="shared" ref="G89:G91" si="17">F89/24</f>
        <v>7809.916666666667</v>
      </c>
      <c r="H89" s="140">
        <v>1372.3888888888914</v>
      </c>
      <c r="I89" s="140">
        <f t="shared" ref="I89:I113" si="18">G89+H89</f>
        <v>9182.3055555555584</v>
      </c>
      <c r="J89" s="140">
        <f t="shared" si="12"/>
        <v>146.69444444444161</v>
      </c>
      <c r="K89" s="140">
        <f t="shared" si="13"/>
        <v>21519.260030863366</v>
      </c>
      <c r="L89" s="142">
        <f t="shared" si="14"/>
        <v>1.5724562594537635E-2</v>
      </c>
    </row>
    <row r="90" spans="1:20" x14ac:dyDescent="0.3">
      <c r="A90" s="133">
        <v>73</v>
      </c>
      <c r="B90" s="134">
        <v>2002</v>
      </c>
      <c r="C90" s="135" t="s">
        <v>20</v>
      </c>
      <c r="D90" s="134">
        <v>7120</v>
      </c>
      <c r="E90" s="140">
        <f t="shared" si="15"/>
        <v>93989</v>
      </c>
      <c r="F90" s="140">
        <f t="shared" si="16"/>
        <v>187849</v>
      </c>
      <c r="G90" s="150">
        <f t="shared" si="17"/>
        <v>7827.041666666667</v>
      </c>
      <c r="H90" s="140">
        <v>-826.11111111110949</v>
      </c>
      <c r="I90" s="167">
        <f t="shared" si="18"/>
        <v>7000.9305555555575</v>
      </c>
      <c r="J90" s="140">
        <f t="shared" si="12"/>
        <v>119.06944444444252</v>
      </c>
      <c r="K90" s="140">
        <f t="shared" si="13"/>
        <v>14177.532600308185</v>
      </c>
      <c r="L90" s="142">
        <f t="shared" si="14"/>
        <v>1.6723236579275637E-2</v>
      </c>
    </row>
    <row r="91" spans="1:20" x14ac:dyDescent="0.3">
      <c r="A91" s="136">
        <v>74</v>
      </c>
      <c r="B91" s="137"/>
      <c r="C91" s="135" t="s">
        <v>21</v>
      </c>
      <c r="D91" s="137">
        <v>7124</v>
      </c>
      <c r="E91" s="140">
        <f t="shared" si="15"/>
        <v>94275</v>
      </c>
      <c r="F91" s="140">
        <f>SUM(E90:E91)</f>
        <v>188264</v>
      </c>
      <c r="G91" s="150">
        <f t="shared" si="17"/>
        <v>7844.333333333333</v>
      </c>
      <c r="H91" s="140">
        <v>-831.11111111110949</v>
      </c>
      <c r="I91" s="167">
        <f t="shared" si="18"/>
        <v>7013.2222222222235</v>
      </c>
      <c r="J91" s="140">
        <f t="shared" si="12"/>
        <v>110.77777777777646</v>
      </c>
      <c r="K91" s="140">
        <f t="shared" si="13"/>
        <v>12271.716049382425</v>
      </c>
      <c r="L91" s="142">
        <f t="shared" si="14"/>
        <v>1.55499407324223E-2</v>
      </c>
    </row>
    <row r="92" spans="1:20" x14ac:dyDescent="0.3">
      <c r="A92" s="133">
        <v>75</v>
      </c>
      <c r="B92" s="134"/>
      <c r="C92" s="135" t="s">
        <v>22</v>
      </c>
      <c r="D92" s="134">
        <v>7817</v>
      </c>
      <c r="E92" s="140">
        <f>SUM(D87:D98)</f>
        <v>94677</v>
      </c>
      <c r="F92" s="140">
        <f>SUM(E91:E92)</f>
        <v>188952</v>
      </c>
      <c r="G92" s="150">
        <f>F92/24</f>
        <v>7873</v>
      </c>
      <c r="H92" s="140">
        <v>-243.61111111110949</v>
      </c>
      <c r="I92" s="167">
        <f t="shared" si="18"/>
        <v>7629.3888888888905</v>
      </c>
      <c r="J92" s="140">
        <f t="shared" si="12"/>
        <v>187.61111111110949</v>
      </c>
      <c r="K92" s="140">
        <f t="shared" si="13"/>
        <v>35197.92901234507</v>
      </c>
      <c r="L92" s="142">
        <f t="shared" si="14"/>
        <v>2.4000397992978061E-2</v>
      </c>
    </row>
    <row r="93" spans="1:20" x14ac:dyDescent="0.3">
      <c r="A93" s="136">
        <v>76</v>
      </c>
      <c r="B93" s="137"/>
      <c r="C93" s="135" t="s">
        <v>23</v>
      </c>
      <c r="D93" s="137">
        <v>7538</v>
      </c>
      <c r="G93" s="150">
        <f t="shared" ref="G93:G113" si="19">G92+$O$33</f>
        <v>7902.7185990338166</v>
      </c>
      <c r="H93" s="140">
        <v>-431.11111111110949</v>
      </c>
      <c r="I93" s="167">
        <f t="shared" si="18"/>
        <v>7471.6074879227072</v>
      </c>
      <c r="J93" s="140">
        <f t="shared" si="12"/>
        <v>66.392512077292849</v>
      </c>
      <c r="K93" s="140">
        <f t="shared" si="13"/>
        <v>4407.9656599334767</v>
      </c>
      <c r="L93" s="142">
        <f t="shared" si="14"/>
        <v>8.8077092169398848E-3</v>
      </c>
    </row>
    <row r="94" spans="1:20" x14ac:dyDescent="0.3">
      <c r="A94" s="133">
        <v>77</v>
      </c>
      <c r="B94" s="134"/>
      <c r="C94" s="135" t="s">
        <v>24</v>
      </c>
      <c r="D94" s="134">
        <v>7921</v>
      </c>
      <c r="G94" s="150">
        <f t="shared" si="19"/>
        <v>7932.4371980676333</v>
      </c>
      <c r="H94" s="140">
        <v>-104.61111111110949</v>
      </c>
      <c r="I94" s="167">
        <f t="shared" si="18"/>
        <v>7827.8260869565238</v>
      </c>
      <c r="J94" s="140">
        <f t="shared" si="12"/>
        <v>93.173913043476205</v>
      </c>
      <c r="K94" s="140">
        <f t="shared" si="13"/>
        <v>8681.3780718332655</v>
      </c>
      <c r="L94" s="142">
        <f t="shared" si="14"/>
        <v>1.1762897745673047E-2</v>
      </c>
    </row>
    <row r="95" spans="1:20" x14ac:dyDescent="0.3">
      <c r="A95" s="136">
        <v>78</v>
      </c>
      <c r="B95" s="137"/>
      <c r="C95" s="135" t="s">
        <v>25</v>
      </c>
      <c r="D95" s="137">
        <v>7757</v>
      </c>
      <c r="G95" s="150">
        <f t="shared" si="19"/>
        <v>7962.1557971014499</v>
      </c>
      <c r="H95" s="140">
        <v>-171.44444444444252</v>
      </c>
      <c r="I95" s="167">
        <f t="shared" si="18"/>
        <v>7790.7113526570074</v>
      </c>
      <c r="J95" s="140">
        <f t="shared" si="12"/>
        <v>33.71135265700741</v>
      </c>
      <c r="K95" s="140">
        <f t="shared" si="13"/>
        <v>1136.4552979651205</v>
      </c>
      <c r="L95" s="142">
        <f t="shared" si="14"/>
        <v>4.3459266026824039E-3</v>
      </c>
    </row>
    <row r="96" spans="1:20" x14ac:dyDescent="0.3">
      <c r="A96" s="133">
        <v>79</v>
      </c>
      <c r="B96" s="134"/>
      <c r="C96" s="135" t="s">
        <v>26</v>
      </c>
      <c r="D96" s="134">
        <v>7816</v>
      </c>
      <c r="G96" s="150">
        <f t="shared" si="19"/>
        <v>7991.8743961352666</v>
      </c>
      <c r="H96" s="140">
        <v>-30.944444444442524</v>
      </c>
      <c r="I96" s="167">
        <f t="shared" si="18"/>
        <v>7960.9299516908241</v>
      </c>
      <c r="J96" s="140">
        <f t="shared" si="12"/>
        <v>144.92995169082405</v>
      </c>
      <c r="K96" s="140">
        <f t="shared" si="13"/>
        <v>21004.690897104596</v>
      </c>
      <c r="L96" s="142">
        <f t="shared" si="14"/>
        <v>1.8542726674875134E-2</v>
      </c>
    </row>
    <row r="97" spans="1:16" x14ac:dyDescent="0.3">
      <c r="A97" s="136">
        <v>80</v>
      </c>
      <c r="B97" s="137"/>
      <c r="C97" s="135" t="s">
        <v>27</v>
      </c>
      <c r="D97" s="137">
        <v>8208</v>
      </c>
      <c r="G97" s="150">
        <f t="shared" si="19"/>
        <v>8021.5929951690832</v>
      </c>
      <c r="H97" s="140">
        <v>274.55555555555748</v>
      </c>
      <c r="I97" s="167">
        <f t="shared" si="18"/>
        <v>8296.1485507246398</v>
      </c>
      <c r="J97" s="140">
        <f t="shared" si="12"/>
        <v>88.14855072463979</v>
      </c>
      <c r="K97" s="140">
        <f t="shared" si="13"/>
        <v>7770.166994854394</v>
      </c>
      <c r="L97" s="142">
        <f t="shared" si="14"/>
        <v>1.0739345848518492E-2</v>
      </c>
    </row>
    <row r="98" spans="1:16" x14ac:dyDescent="0.3">
      <c r="A98" s="133">
        <v>81</v>
      </c>
      <c r="B98" s="134"/>
      <c r="C98" s="135" t="s">
        <v>28</v>
      </c>
      <c r="D98" s="134">
        <v>7828</v>
      </c>
      <c r="G98" s="150">
        <f t="shared" si="19"/>
        <v>8051.3115942028999</v>
      </c>
      <c r="H98" s="140">
        <v>-16.944444444442524</v>
      </c>
      <c r="I98" s="167">
        <f t="shared" si="18"/>
        <v>8034.3671497584573</v>
      </c>
      <c r="J98" s="140">
        <f t="shared" si="12"/>
        <v>206.36714975845734</v>
      </c>
      <c r="K98" s="140">
        <f t="shared" si="13"/>
        <v>42587.400499429561</v>
      </c>
      <c r="L98" s="142">
        <f t="shared" si="14"/>
        <v>2.6362691588970023E-2</v>
      </c>
    </row>
    <row r="99" spans="1:16" x14ac:dyDescent="0.3">
      <c r="A99" s="136">
        <v>82</v>
      </c>
      <c r="B99" s="148">
        <v>2002</v>
      </c>
      <c r="C99" s="149" t="s">
        <v>29</v>
      </c>
      <c r="D99" s="137"/>
      <c r="G99" s="150">
        <f t="shared" si="19"/>
        <v>8081.0301932367165</v>
      </c>
      <c r="H99" s="140">
        <v>256.55555555555748</v>
      </c>
      <c r="I99" s="168">
        <f t="shared" si="18"/>
        <v>8337.5857487922731</v>
      </c>
      <c r="M99" s="140">
        <f>AVERAGE(L90:L98)</f>
        <v>1.5203874775814998E-2</v>
      </c>
    </row>
    <row r="100" spans="1:16" x14ac:dyDescent="0.3">
      <c r="A100" s="133">
        <v>83</v>
      </c>
      <c r="B100" s="134"/>
      <c r="C100" s="135" t="s">
        <v>30</v>
      </c>
      <c r="D100" s="134"/>
      <c r="G100" s="150">
        <f t="shared" si="19"/>
        <v>8110.7487922705332</v>
      </c>
      <c r="H100" s="140">
        <v>752.38888888889051</v>
      </c>
      <c r="I100" s="167">
        <f t="shared" si="18"/>
        <v>8863.1376811594237</v>
      </c>
      <c r="M100" s="140">
        <f>100-M99</f>
        <v>99.984796125224179</v>
      </c>
      <c r="N100" s="286" t="s">
        <v>106</v>
      </c>
      <c r="O100" s="287"/>
      <c r="P100" s="288"/>
    </row>
    <row r="101" spans="1:16" x14ac:dyDescent="0.3">
      <c r="A101" s="136">
        <v>84</v>
      </c>
      <c r="B101" s="137"/>
      <c r="C101" s="135" t="s">
        <v>31</v>
      </c>
      <c r="D101" s="137"/>
      <c r="G101" s="150">
        <f t="shared" si="19"/>
        <v>8140.4673913043498</v>
      </c>
      <c r="H101" s="140">
        <v>1372.3888888888914</v>
      </c>
      <c r="I101" s="167">
        <f t="shared" si="18"/>
        <v>9512.8562801932421</v>
      </c>
    </row>
    <row r="102" spans="1:16" ht="15.6" customHeight="1" x14ac:dyDescent="0.3">
      <c r="A102" s="140">
        <v>85</v>
      </c>
      <c r="B102" s="134">
        <v>2003</v>
      </c>
      <c r="C102" s="135" t="s">
        <v>20</v>
      </c>
      <c r="G102" s="150">
        <f>G101+$O$33</f>
        <v>8170.1859903381664</v>
      </c>
      <c r="H102" s="140">
        <v>-826.11111111110949</v>
      </c>
      <c r="I102" s="167">
        <f t="shared" si="18"/>
        <v>7344.074879227057</v>
      </c>
      <c r="J102" s="163" t="s">
        <v>46</v>
      </c>
      <c r="K102" s="164">
        <f>SUM(J18:J98)</f>
        <v>8550.647342995162</v>
      </c>
      <c r="L102" s="164">
        <f>SUM(K18:K98)</f>
        <v>1467361.864339018</v>
      </c>
      <c r="M102" s="164">
        <f>SUM(L18:L98)</f>
        <v>1.2564693475172624</v>
      </c>
      <c r="N102" s="213" t="s">
        <v>75</v>
      </c>
      <c r="O102" s="214"/>
      <c r="P102" s="165">
        <f>K103</f>
        <v>105.56354744438471</v>
      </c>
    </row>
    <row r="103" spans="1:16" ht="16.2" customHeight="1" thickBot="1" x14ac:dyDescent="0.35">
      <c r="A103" s="140">
        <v>86</v>
      </c>
      <c r="B103" s="137"/>
      <c r="C103" s="135" t="s">
        <v>21</v>
      </c>
      <c r="G103" s="150">
        <f t="shared" si="19"/>
        <v>8199.9045893719831</v>
      </c>
      <c r="H103" s="140">
        <v>-831.11111111110949</v>
      </c>
      <c r="I103" s="167">
        <f t="shared" si="18"/>
        <v>7368.7934782608736</v>
      </c>
      <c r="J103" s="163" t="s">
        <v>47</v>
      </c>
      <c r="K103" s="164">
        <f>AVERAGE(J18:J98)</f>
        <v>105.56354744438471</v>
      </c>
      <c r="L103" s="164">
        <f>AVERAGE(K18:K98)</f>
        <v>18115.578572086641</v>
      </c>
      <c r="M103" s="164">
        <f>AVERAGE(L18:L98)</f>
        <v>1.5511967253299536E-2</v>
      </c>
      <c r="N103" s="215" t="s">
        <v>76</v>
      </c>
      <c r="O103" s="216"/>
      <c r="P103" s="166">
        <f>M103</f>
        <v>1.5511967253299536E-2</v>
      </c>
    </row>
    <row r="104" spans="1:16" ht="15.6" x14ac:dyDescent="0.3">
      <c r="A104" s="140">
        <v>87</v>
      </c>
      <c r="B104" s="134"/>
      <c r="C104" s="135" t="s">
        <v>22</v>
      </c>
      <c r="G104" s="150">
        <f t="shared" si="19"/>
        <v>8229.6231884057997</v>
      </c>
      <c r="H104" s="140">
        <v>-243.61111111110949</v>
      </c>
      <c r="I104" s="167">
        <f t="shared" si="18"/>
        <v>7986.0120772946902</v>
      </c>
      <c r="N104" s="213" t="s">
        <v>74</v>
      </c>
      <c r="O104" s="214"/>
      <c r="P104" s="165">
        <f>L103</f>
        <v>18115.578572086641</v>
      </c>
    </row>
    <row r="105" spans="1:16" x14ac:dyDescent="0.3">
      <c r="A105" s="140">
        <v>88</v>
      </c>
      <c r="B105" s="137"/>
      <c r="C105" s="135" t="s">
        <v>23</v>
      </c>
      <c r="G105" s="150">
        <f t="shared" si="19"/>
        <v>8259.3417874396164</v>
      </c>
      <c r="H105" s="140">
        <v>-431.11111111110949</v>
      </c>
      <c r="I105" s="167">
        <f t="shared" si="18"/>
        <v>7828.2306763285069</v>
      </c>
    </row>
    <row r="106" spans="1:16" x14ac:dyDescent="0.3">
      <c r="A106" s="140">
        <v>89</v>
      </c>
      <c r="B106" s="134"/>
      <c r="C106" s="135" t="s">
        <v>24</v>
      </c>
      <c r="G106" s="150">
        <f t="shared" si="19"/>
        <v>8289.060386473433</v>
      </c>
      <c r="H106" s="140">
        <v>-104.61111111110949</v>
      </c>
      <c r="I106" s="167">
        <f t="shared" si="18"/>
        <v>8184.4492753623235</v>
      </c>
    </row>
    <row r="107" spans="1:16" x14ac:dyDescent="0.3">
      <c r="A107" s="140">
        <v>90</v>
      </c>
      <c r="B107" s="137"/>
      <c r="C107" s="135" t="s">
        <v>25</v>
      </c>
      <c r="G107" s="150">
        <f t="shared" si="19"/>
        <v>8318.7789855072497</v>
      </c>
      <c r="H107" s="140">
        <v>-171.44444444444252</v>
      </c>
      <c r="I107" s="167">
        <f t="shared" si="18"/>
        <v>8147.3345410628071</v>
      </c>
    </row>
    <row r="108" spans="1:16" x14ac:dyDescent="0.3">
      <c r="A108" s="140">
        <v>91</v>
      </c>
      <c r="B108" s="134"/>
      <c r="C108" s="135" t="s">
        <v>26</v>
      </c>
      <c r="G108" s="150">
        <f t="shared" si="19"/>
        <v>8348.4975845410663</v>
      </c>
      <c r="H108" s="140">
        <v>-30.944444444442524</v>
      </c>
      <c r="I108" s="167">
        <f t="shared" si="18"/>
        <v>8317.5531400966247</v>
      </c>
    </row>
    <row r="109" spans="1:16" x14ac:dyDescent="0.3">
      <c r="A109" s="140">
        <v>92</v>
      </c>
      <c r="B109" s="137"/>
      <c r="C109" s="135" t="s">
        <v>27</v>
      </c>
      <c r="G109" s="150">
        <f t="shared" si="19"/>
        <v>8378.216183574883</v>
      </c>
      <c r="H109" s="140">
        <v>274.55555555555748</v>
      </c>
      <c r="I109" s="167">
        <f t="shared" si="18"/>
        <v>8652.7717391304395</v>
      </c>
    </row>
    <row r="110" spans="1:16" x14ac:dyDescent="0.3">
      <c r="A110" s="140">
        <v>93</v>
      </c>
      <c r="B110" s="134"/>
      <c r="C110" s="135" t="s">
        <v>28</v>
      </c>
      <c r="G110" s="150">
        <f t="shared" si="19"/>
        <v>8407.9347826086996</v>
      </c>
      <c r="H110" s="140">
        <v>-16.944444444442524</v>
      </c>
      <c r="I110" s="167">
        <f t="shared" si="18"/>
        <v>8390.990338164258</v>
      </c>
    </row>
    <row r="111" spans="1:16" x14ac:dyDescent="0.3">
      <c r="A111" s="140">
        <v>94</v>
      </c>
      <c r="B111" s="148"/>
      <c r="C111" s="149" t="s">
        <v>29</v>
      </c>
      <c r="G111" s="150">
        <f t="shared" si="19"/>
        <v>8437.6533816425163</v>
      </c>
      <c r="H111" s="140">
        <v>256.55555555555748</v>
      </c>
      <c r="I111" s="167">
        <f t="shared" si="18"/>
        <v>8694.2089371980728</v>
      </c>
    </row>
    <row r="112" spans="1:16" x14ac:dyDescent="0.3">
      <c r="A112" s="140">
        <v>95</v>
      </c>
      <c r="B112" s="134"/>
      <c r="C112" s="135" t="s">
        <v>30</v>
      </c>
      <c r="G112" s="150">
        <f t="shared" si="19"/>
        <v>8467.3719806763329</v>
      </c>
      <c r="H112" s="140">
        <v>752.38888888889051</v>
      </c>
      <c r="I112" s="167">
        <f t="shared" si="18"/>
        <v>9219.7608695652234</v>
      </c>
    </row>
    <row r="113" spans="1:9" x14ac:dyDescent="0.3">
      <c r="A113" s="140">
        <v>96</v>
      </c>
      <c r="B113" s="137"/>
      <c r="C113" s="135" t="s">
        <v>31</v>
      </c>
      <c r="G113" s="150">
        <f t="shared" si="19"/>
        <v>8497.0905797101495</v>
      </c>
      <c r="H113" s="140">
        <v>1372.3888888888914</v>
      </c>
      <c r="I113" s="167">
        <f t="shared" si="18"/>
        <v>9869.4794685990419</v>
      </c>
    </row>
  </sheetData>
  <mergeCells count="6">
    <mergeCell ref="N103:O103"/>
    <mergeCell ref="N102:O102"/>
    <mergeCell ref="A12:P14"/>
    <mergeCell ref="N29:O29"/>
    <mergeCell ref="N104:O104"/>
    <mergeCell ref="N100:P100"/>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B0EB-B5AF-40FE-8E9E-7A7A0EE44179}">
  <dimension ref="A1:P34"/>
  <sheetViews>
    <sheetView workbookViewId="0">
      <selection activeCell="G2" sqref="G2"/>
    </sheetView>
  </sheetViews>
  <sheetFormatPr defaultRowHeight="14.4" x14ac:dyDescent="0.3"/>
  <cols>
    <col min="1" max="1" width="9.5546875" bestFit="1" customWidth="1"/>
    <col min="2" max="2" width="9.109375" bestFit="1" customWidth="1"/>
    <col min="3" max="3" width="11.88671875" bestFit="1" customWidth="1"/>
    <col min="4" max="4" width="9.6640625" bestFit="1" customWidth="1"/>
    <col min="5" max="5" width="10.109375" customWidth="1"/>
    <col min="6" max="6" width="12" bestFit="1" customWidth="1"/>
    <col min="7" max="7" width="12.77734375" bestFit="1" customWidth="1"/>
    <col min="8" max="8" width="16.44140625" bestFit="1" customWidth="1"/>
    <col min="9" max="11" width="10.109375" customWidth="1"/>
    <col min="12" max="12" width="14.21875" bestFit="1" customWidth="1"/>
    <col min="13" max="13" width="10.109375" customWidth="1"/>
  </cols>
  <sheetData>
    <row r="1" spans="1:16" ht="15" thickBot="1" x14ac:dyDescent="0.35">
      <c r="A1" s="378" t="s">
        <v>108</v>
      </c>
      <c r="B1" s="378" t="s">
        <v>32</v>
      </c>
      <c r="C1" s="378" t="s">
        <v>208</v>
      </c>
      <c r="D1" s="378" t="s">
        <v>34</v>
      </c>
      <c r="E1" t="s">
        <v>94</v>
      </c>
      <c r="F1" t="s">
        <v>209</v>
      </c>
      <c r="G1" t="s">
        <v>210</v>
      </c>
      <c r="H1" t="s">
        <v>211</v>
      </c>
      <c r="I1" t="s">
        <v>212</v>
      </c>
      <c r="J1" t="s">
        <v>213</v>
      </c>
      <c r="K1" t="s">
        <v>214</v>
      </c>
      <c r="L1" t="s">
        <v>215</v>
      </c>
      <c r="M1" t="s">
        <v>216</v>
      </c>
    </row>
    <row r="2" spans="1:16" ht="15" thickBot="1" x14ac:dyDescent="0.35">
      <c r="A2" s="375">
        <v>1</v>
      </c>
      <c r="B2" s="375">
        <v>2000</v>
      </c>
      <c r="C2" s="375">
        <v>1</v>
      </c>
      <c r="D2" s="375">
        <v>232.7</v>
      </c>
      <c r="E2">
        <f>$P$3+$O$3*Table9[[#This Row],[Time]]</f>
        <v>255.02610837438428</v>
      </c>
      <c r="F2">
        <f>Table9[[#This Row],[Sales]]/Table9[[#This Row],[Trend]]</f>
        <v>0.91245559712808288</v>
      </c>
      <c r="G2">
        <f>MEDIAN($F$2,$F$6,$F$10,$F$14,$F$18,$F$22,$F$26)</f>
        <v>0.78835407565274929</v>
      </c>
      <c r="H2">
        <f>Table9[[#This Row],[Seasonality]]*4/SUM($G$2:$G$5)</f>
        <v>0.79479077951232635</v>
      </c>
      <c r="I2">
        <f>Table9[[#This Row],[Sales]]/(Table9[[#This Row],[Trend]]*Table9[[#This Row],[SeasonalityCorr]])</f>
        <v>1.1480450209650825</v>
      </c>
      <c r="L2">
        <f>Table9[[#This Row],[Trend]]*Table9[[#This Row],[SeasonalityCorr]]*1*1</f>
        <v>202.69239947087189</v>
      </c>
      <c r="M2">
        <f>Table9[[#This Row],[Sales]]-Table9[[#This Row],[MultForecast]]</f>
        <v>30.007600529128098</v>
      </c>
      <c r="O2" s="379" t="s">
        <v>81</v>
      </c>
      <c r="P2" s="380" t="s">
        <v>124</v>
      </c>
    </row>
    <row r="3" spans="1:16" ht="15" thickBot="1" x14ac:dyDescent="0.35">
      <c r="A3" s="376">
        <v>2</v>
      </c>
      <c r="B3" s="376"/>
      <c r="C3" s="376">
        <v>2</v>
      </c>
      <c r="D3" s="376">
        <v>309.2</v>
      </c>
      <c r="E3">
        <f>$P$3+$O$3*Table9[[#This Row],[Time]]</f>
        <v>256.31015325670501</v>
      </c>
      <c r="F3">
        <f>Table9[[#This Row],[Sales]]/Table9[[#This Row],[Trend]]</f>
        <v>1.2063509621888591</v>
      </c>
      <c r="G3">
        <f>MEDIAN($F$3,$F$7,$F$11,$F$15,$F$19,$F$23,$F$27)</f>
        <v>0.99468099758388329</v>
      </c>
      <c r="H3">
        <f>Table9[[#This Row],[Seasonality]]*4/SUM($G$2:$G$5)</f>
        <v>1.0028023065412766</v>
      </c>
      <c r="I3">
        <f>Table9[[#This Row],[Sales]]/(Table9[[#This Row],[Trend]]*Table9[[#This Row],[SeasonalityCorr]])</f>
        <v>1.2029798439032648</v>
      </c>
      <c r="J3">
        <f t="shared" ref="J3:J28" si="0">AVERAGE(I2:I4)</f>
        <v>1.1488869591409647</v>
      </c>
      <c r="K3">
        <f>Table9[[#This Row],[CI]]/Table9[[#This Row],[C]]</f>
        <v>1.0470828607914098</v>
      </c>
      <c r="L3">
        <f>Table9[[#This Row],[Trend]]*Table9[[#This Row],[SeasonalityCorr]]*1*1</f>
        <v>257.02841287577189</v>
      </c>
      <c r="M3">
        <f>Table9[[#This Row],[Sales]]-Table9[[#This Row],[MultForecast]]</f>
        <v>52.171587124228097</v>
      </c>
      <c r="O3" s="381" cm="1">
        <f t="array" ref="O3:P3">LINEST(D2:D29,A2:A29)</f>
        <v>1.2840448823207451</v>
      </c>
      <c r="P3" s="382">
        <v>253.74206349206352</v>
      </c>
    </row>
    <row r="4" spans="1:16" ht="15" thickBot="1" x14ac:dyDescent="0.35">
      <c r="A4" s="375">
        <v>3</v>
      </c>
      <c r="B4" s="375"/>
      <c r="C4" s="375">
        <v>3</v>
      </c>
      <c r="D4" s="375">
        <v>310.7</v>
      </c>
      <c r="E4">
        <f>$P$3+$O$3*Table9[[#This Row],[Time]]</f>
        <v>257.59419813902576</v>
      </c>
      <c r="F4">
        <f>Table9[[#This Row],[Sales]]/Table9[[#This Row],[Trend]]</f>
        <v>1.2061607064314104</v>
      </c>
      <c r="G4">
        <f>MEDIAN($F$4,$F$8,$F$12,$F$16,$F$20,$F$24,$F$28)</f>
        <v>1.0919616209657612</v>
      </c>
      <c r="H4">
        <f>Table9[[#This Row],[Seasonality]]*4/SUM($G$2:$G$5)</f>
        <v>1.100877200649117</v>
      </c>
      <c r="I4">
        <f>Table9[[#This Row],[Sales]]/(Table9[[#This Row],[Trend]]*Table9[[#This Row],[SeasonalityCorr]])</f>
        <v>1.0956360125545468</v>
      </c>
      <c r="J4">
        <f t="shared" si="0"/>
        <v>1.1087005701247137</v>
      </c>
      <c r="K4">
        <f>Table9[[#This Row],[CI]]/Table9[[#This Row],[C]]</f>
        <v>0.98821633367727291</v>
      </c>
      <c r="L4">
        <f>Table9[[#This Row],[Trend]]*Table9[[#This Row],[SeasonalityCorr]]*1*1</f>
        <v>283.57957975074464</v>
      </c>
      <c r="M4">
        <f>Table9[[#This Row],[Sales]]-Table9[[#This Row],[MultForecast]]</f>
        <v>27.120420249255346</v>
      </c>
    </row>
    <row r="5" spans="1:16" x14ac:dyDescent="0.3">
      <c r="A5" s="376">
        <v>4</v>
      </c>
      <c r="B5" s="376"/>
      <c r="C5" s="376">
        <v>4</v>
      </c>
      <c r="D5" s="376">
        <v>293</v>
      </c>
      <c r="E5">
        <f>$P$3+$O$3*Table9[[#This Row],[Time]]</f>
        <v>258.87824302134652</v>
      </c>
      <c r="F5">
        <f>Table9[[#This Row],[Sales]]/Table9[[#This Row],[Trend]]</f>
        <v>1.131806198081466</v>
      </c>
      <c r="G5">
        <f>MEDIAN($F$5,$F$9,$F$13,$F$17,$F$21,$F$25,$F$29)</f>
        <v>1.0926088491657537</v>
      </c>
      <c r="H5">
        <f>Table9[[#This Row],[Seasonality]]*4/SUM($G$2:$G$5)</f>
        <v>1.1015297132972801</v>
      </c>
      <c r="I5">
        <f>Table9[[#This Row],[Sales]]/(Table9[[#This Row],[Trend]]*Table9[[#This Row],[SeasonalityCorr]])</f>
        <v>1.0274858539163298</v>
      </c>
      <c r="J5">
        <f t="shared" si="0"/>
        <v>1.0383410841043046</v>
      </c>
      <c r="K5">
        <f>Table9[[#This Row],[CI]]/Table9[[#This Row],[C]]</f>
        <v>0.98954560273675518</v>
      </c>
      <c r="L5">
        <f>Table9[[#This Row],[Trend]]*Table9[[#This Row],[SeasonalityCorr]]*1*1</f>
        <v>285.16207681420747</v>
      </c>
      <c r="M5">
        <f>Table9[[#This Row],[Sales]]-Table9[[#This Row],[MultForecast]]</f>
        <v>7.8379231857925333</v>
      </c>
      <c r="O5" s="379" t="s">
        <v>17</v>
      </c>
      <c r="P5" s="385" cm="1">
        <f t="array" ref="P5">AVERAGE(ABS(M2:M29)/D2:D29)*100</f>
        <v>6.9926599207009721</v>
      </c>
    </row>
    <row r="6" spans="1:16" x14ac:dyDescent="0.3">
      <c r="A6" s="375">
        <v>5</v>
      </c>
      <c r="B6" s="375">
        <v>2001</v>
      </c>
      <c r="C6" s="375">
        <v>1</v>
      </c>
      <c r="D6" s="375">
        <v>205.1</v>
      </c>
      <c r="E6">
        <f>$P$3+$O$3*Table9[[#This Row],[Time]]</f>
        <v>260.16228790366722</v>
      </c>
      <c r="F6">
        <f>Table9[[#This Row],[Sales]]/Table9[[#This Row],[Trend]]</f>
        <v>0.78835407565274929</v>
      </c>
      <c r="G6">
        <f>MEDIAN($F$2,$F$6,$F$10,$F$14,$F$18,$F$22,$F$26)</f>
        <v>0.78835407565274929</v>
      </c>
      <c r="H6">
        <f>Table9[[#This Row],[Seasonality]]*4/SUM($G$2:$G$5)</f>
        <v>0.79479077951232635</v>
      </c>
      <c r="I6">
        <f>Table9[[#This Row],[Sales]]/(Table9[[#This Row],[Trend]]*Table9[[#This Row],[SeasonalityCorr]])</f>
        <v>0.9919013858420368</v>
      </c>
      <c r="J6">
        <f t="shared" si="0"/>
        <v>0.97114432003517237</v>
      </c>
      <c r="K6">
        <f>Table9[[#This Row],[CI]]/Table9[[#This Row],[C]]</f>
        <v>1.0213738219733528</v>
      </c>
      <c r="L6">
        <f>Table9[[#This Row],[Trend]]*Table9[[#This Row],[SeasonalityCorr]]*1*1</f>
        <v>206.77458760266595</v>
      </c>
      <c r="M6">
        <f>Table9[[#This Row],[Sales]]-Table9[[#This Row],[MultForecast]]</f>
        <v>-1.6745876026659516</v>
      </c>
      <c r="O6" s="383" t="s">
        <v>16</v>
      </c>
      <c r="P6" s="305" cm="1">
        <f t="array" ref="P6">AVERAGE(ABS(M2:M29))</f>
        <v>18.264272626810818</v>
      </c>
    </row>
    <row r="7" spans="1:16" ht="15" thickBot="1" x14ac:dyDescent="0.35">
      <c r="A7" s="376">
        <v>6</v>
      </c>
      <c r="B7" s="376"/>
      <c r="C7" s="376">
        <v>2</v>
      </c>
      <c r="D7" s="376">
        <v>234.4</v>
      </c>
      <c r="E7">
        <f>$P$3+$O$3*Table9[[#This Row],[Time]]</f>
        <v>261.44633278598798</v>
      </c>
      <c r="F7">
        <f>Table9[[#This Row],[Sales]]/Table9[[#This Row],[Trend]]</f>
        <v>0.89655111051747938</v>
      </c>
      <c r="G7">
        <f>MEDIAN($F$3,$F$7,$F$11,$F$15,$F$19,$F$23,$F$27)</f>
        <v>0.99468099758388329</v>
      </c>
      <c r="H7">
        <f>Table9[[#This Row],[Seasonality]]*4/SUM($G$2:$G$5)</f>
        <v>1.0028023065412766</v>
      </c>
      <c r="I7">
        <f>Table9[[#This Row],[Sales]]/(Table9[[#This Row],[Trend]]*Table9[[#This Row],[SeasonalityCorr]])</f>
        <v>0.89404572034715035</v>
      </c>
      <c r="J7">
        <f t="shared" si="0"/>
        <v>0.95756393446553101</v>
      </c>
      <c r="K7">
        <f>Table9[[#This Row],[CI]]/Table9[[#This Row],[C]]</f>
        <v>0.933666868777975</v>
      </c>
      <c r="L7">
        <f>Table9[[#This Row],[Trend]]*Table9[[#This Row],[SeasonalityCorr]]*1*1</f>
        <v>262.1789855545469</v>
      </c>
      <c r="M7">
        <f>Table9[[#This Row],[Sales]]-Table9[[#This Row],[MultForecast]]</f>
        <v>-27.778985554546892</v>
      </c>
      <c r="O7" s="384" t="s">
        <v>123</v>
      </c>
      <c r="P7" s="306" cm="1">
        <f t="array" ref="P7">AVERAGE(M2:M29^2)</f>
        <v>516.50210992234236</v>
      </c>
    </row>
    <row r="8" spans="1:16" x14ac:dyDescent="0.3">
      <c r="A8" s="375">
        <v>7</v>
      </c>
      <c r="B8" s="375"/>
      <c r="C8" s="375">
        <v>3</v>
      </c>
      <c r="D8" s="375">
        <v>285.39999999999998</v>
      </c>
      <c r="E8">
        <f>$P$3+$O$3*Table9[[#This Row],[Time]]</f>
        <v>262.73037766830873</v>
      </c>
      <c r="F8">
        <f>Table9[[#This Row],[Sales]]/Table9[[#This Row],[Trend]]</f>
        <v>1.0862847400170494</v>
      </c>
      <c r="G8">
        <f>MEDIAN($F$4,$F$8,$F$12,$F$16,$F$20,$F$24,$F$28)</f>
        <v>1.0919616209657612</v>
      </c>
      <c r="H8">
        <f>Table9[[#This Row],[Seasonality]]*4/SUM($G$2:$G$5)</f>
        <v>1.100877200649117</v>
      </c>
      <c r="I8">
        <f>Table9[[#This Row],[Sales]]/(Table9[[#This Row],[Trend]]*Table9[[#This Row],[SeasonalityCorr]])</f>
        <v>0.98674469720740587</v>
      </c>
      <c r="J8">
        <f t="shared" si="0"/>
        <v>0.92344830521118826</v>
      </c>
      <c r="K8">
        <f>Table9[[#This Row],[CI]]/Table9[[#This Row],[C]]</f>
        <v>1.0685435141729369</v>
      </c>
      <c r="L8">
        <f>Table9[[#This Row],[Trend]]*Table9[[#This Row],[SeasonalityCorr]]*1*1</f>
        <v>289.233882692973</v>
      </c>
      <c r="M8">
        <f>Table9[[#This Row],[Sales]]-Table9[[#This Row],[MultForecast]]</f>
        <v>-3.8338826929730203</v>
      </c>
    </row>
    <row r="9" spans="1:16" x14ac:dyDescent="0.3">
      <c r="A9" s="376">
        <v>8</v>
      </c>
      <c r="B9" s="376"/>
      <c r="C9" s="376">
        <v>4</v>
      </c>
      <c r="D9" s="376">
        <v>258.7</v>
      </c>
      <c r="E9">
        <f>$P$3+$O$3*Table9[[#This Row],[Time]]</f>
        <v>264.01442255062949</v>
      </c>
      <c r="F9">
        <f>Table9[[#This Row],[Sales]]/Table9[[#This Row],[Trend]]</f>
        <v>0.97987071123127611</v>
      </c>
      <c r="G9">
        <f>MEDIAN($F$5,$F$9,$F$13,$F$17,$F$21,$F$25,$F$29)</f>
        <v>1.0926088491657537</v>
      </c>
      <c r="H9">
        <f>Table9[[#This Row],[Seasonality]]*4/SUM($G$2:$G$5)</f>
        <v>1.1015297132972801</v>
      </c>
      <c r="I9">
        <f>Table9[[#This Row],[Sales]]/(Table9[[#This Row],[Trend]]*Table9[[#This Row],[SeasonalityCorr]])</f>
        <v>0.88955449807900844</v>
      </c>
      <c r="J9">
        <f t="shared" si="0"/>
        <v>0.93085365106279827</v>
      </c>
      <c r="K9">
        <f>Table9[[#This Row],[CI]]/Table9[[#This Row],[C]]</f>
        <v>0.95563303325218019</v>
      </c>
      <c r="L9">
        <f>Table9[[#This Row],[Trend]]*Table9[[#This Row],[SeasonalityCorr]]*1*1</f>
        <v>290.81973117854187</v>
      </c>
      <c r="M9">
        <f>Table9[[#This Row],[Sales]]-Table9[[#This Row],[MultForecast]]</f>
        <v>-32.119731178541883</v>
      </c>
    </row>
    <row r="10" spans="1:16" x14ac:dyDescent="0.3">
      <c r="A10" s="375">
        <v>9</v>
      </c>
      <c r="B10" s="375">
        <v>2002</v>
      </c>
      <c r="C10" s="375">
        <v>1</v>
      </c>
      <c r="D10" s="375">
        <v>193.2</v>
      </c>
      <c r="E10">
        <f>$P$3+$O$3*Table9[[#This Row],[Time]]</f>
        <v>265.29846743295025</v>
      </c>
      <c r="F10">
        <f>Table9[[#This Row],[Sales]]/Table9[[#This Row],[Trend]]</f>
        <v>0.72823639680024932</v>
      </c>
      <c r="G10">
        <f t="shared" ref="G10:G30" si="1">MEDIAN($F$2,$F$6,$F$10,$F$14,$F$18,$F$22,$F$26)</f>
        <v>0.78835407565274929</v>
      </c>
      <c r="H10">
        <f>Table9[[#This Row],[Seasonality]]*4/SUM($G$2:$G$5)</f>
        <v>0.79479077951232635</v>
      </c>
      <c r="I10">
        <f>Table9[[#This Row],[Sales]]/(Table9[[#This Row],[Trend]]*Table9[[#This Row],[SeasonalityCorr]])</f>
        <v>0.91626175790198028</v>
      </c>
      <c r="J10">
        <f t="shared" si="0"/>
        <v>0.93074638771078011</v>
      </c>
      <c r="K10">
        <f>Table9[[#This Row],[CI]]/Table9[[#This Row],[C]]</f>
        <v>0.98443761909790961</v>
      </c>
      <c r="L10">
        <f>Table9[[#This Row],[Trend]]*Table9[[#This Row],[SeasonalityCorr]]*1*1</f>
        <v>210.85677573446006</v>
      </c>
      <c r="M10">
        <f>Table9[[#This Row],[Sales]]-Table9[[#This Row],[MultForecast]]</f>
        <v>-17.656775734460069</v>
      </c>
    </row>
    <row r="11" spans="1:16" x14ac:dyDescent="0.3">
      <c r="A11" s="376">
        <v>10</v>
      </c>
      <c r="B11" s="376"/>
      <c r="C11" s="376">
        <v>2</v>
      </c>
      <c r="D11" s="376">
        <v>263.7</v>
      </c>
      <c r="E11">
        <f>$P$3+$O$3*Table9[[#This Row],[Time]]</f>
        <v>266.58251231527095</v>
      </c>
      <c r="F11">
        <f>Table9[[#This Row],[Sales]]/Table9[[#This Row],[Trend]]</f>
        <v>0.98918716651652683</v>
      </c>
      <c r="G11">
        <f>MEDIAN($F$3,$F$7,$F$11,$F$15,$F$19,$F$23,$F$27)</f>
        <v>0.99468099758388329</v>
      </c>
      <c r="H11">
        <f>Table9[[#This Row],[Seasonality]]*4/SUM($G$2:$G$5)</f>
        <v>1.0028023065412766</v>
      </c>
      <c r="I11">
        <f>Table9[[#This Row],[Sales]]/(Table9[[#This Row],[Trend]]*Table9[[#This Row],[SeasonalityCorr]])</f>
        <v>0.98642290715135161</v>
      </c>
      <c r="J11">
        <f t="shared" si="0"/>
        <v>0.96486201696512275</v>
      </c>
      <c r="K11">
        <f>Table9[[#This Row],[CI]]/Table9[[#This Row],[C]]</f>
        <v>1.0223460865980054</v>
      </c>
      <c r="L11">
        <f>Table9[[#This Row],[Trend]]*Table9[[#This Row],[SeasonalityCorr]]*1*1</f>
        <v>267.32955823332196</v>
      </c>
      <c r="M11">
        <f>Table9[[#This Row],[Sales]]-Table9[[#This Row],[MultForecast]]</f>
        <v>-3.6295582333219727</v>
      </c>
    </row>
    <row r="12" spans="1:16" x14ac:dyDescent="0.3">
      <c r="A12" s="375">
        <v>11</v>
      </c>
      <c r="B12" s="375"/>
      <c r="C12" s="375">
        <v>3</v>
      </c>
      <c r="D12" s="375">
        <v>292.5</v>
      </c>
      <c r="E12">
        <f>$P$3+$O$3*Table9[[#This Row],[Time]]</f>
        <v>267.8665571975917</v>
      </c>
      <c r="F12">
        <f>Table9[[#This Row],[Sales]]/Table9[[#This Row],[Trend]]</f>
        <v>1.0919616209657612</v>
      </c>
      <c r="G12">
        <f>MEDIAN($F$4,$F$8,$F$12,$F$16,$F$20,$F$24,$F$28)</f>
        <v>1.0919616209657612</v>
      </c>
      <c r="H12">
        <f>Table9[[#This Row],[Seasonality]]*4/SUM($G$2:$G$5)</f>
        <v>1.100877200649117</v>
      </c>
      <c r="I12">
        <f>Table9[[#This Row],[Sales]]/(Table9[[#This Row],[Trend]]*Table9[[#This Row],[SeasonalityCorr]])</f>
        <v>0.99190138584203669</v>
      </c>
      <c r="J12">
        <f t="shared" si="0"/>
        <v>1.0138248402898078</v>
      </c>
      <c r="K12">
        <f>Table9[[#This Row],[CI]]/Table9[[#This Row],[C]]</f>
        <v>0.97837550080001578</v>
      </c>
      <c r="L12">
        <f>Table9[[#This Row],[Trend]]*Table9[[#This Row],[SeasonalityCorr]]*1*1</f>
        <v>294.88818563520135</v>
      </c>
      <c r="M12">
        <f>Table9[[#This Row],[Sales]]-Table9[[#This Row],[MultForecast]]</f>
        <v>-2.3881856352013529</v>
      </c>
    </row>
    <row r="13" spans="1:16" x14ac:dyDescent="0.3">
      <c r="A13" s="376">
        <v>12</v>
      </c>
      <c r="B13" s="376"/>
      <c r="C13" s="376">
        <v>4</v>
      </c>
      <c r="D13" s="376">
        <v>315.2</v>
      </c>
      <c r="E13">
        <f>$P$3+$O$3*Table9[[#This Row],[Time]]</f>
        <v>269.15060207991246</v>
      </c>
      <c r="F13">
        <f>Table9[[#This Row],[Sales]]/Table9[[#This Row],[Trend]]</f>
        <v>1.1710915657042267</v>
      </c>
      <c r="G13">
        <f>MEDIAN($F$5,$F$9,$F$13,$F$17,$F$21,$F$25,$F$29)</f>
        <v>1.0926088491657537</v>
      </c>
      <c r="H13">
        <f>Table9[[#This Row],[Seasonality]]*4/SUM($G$2:$G$5)</f>
        <v>1.1015297132972801</v>
      </c>
      <c r="I13">
        <f>Table9[[#This Row],[Sales]]/(Table9[[#This Row],[Trend]]*Table9[[#This Row],[SeasonalityCorr]])</f>
        <v>1.063150227876035</v>
      </c>
      <c r="J13">
        <f t="shared" si="0"/>
        <v>0.96152981198581544</v>
      </c>
      <c r="K13">
        <f>Table9[[#This Row],[CI]]/Table9[[#This Row],[C]]</f>
        <v>1.1056861832295624</v>
      </c>
      <c r="L13">
        <f>Table9[[#This Row],[Trend]]*Table9[[#This Row],[SeasonalityCorr]]*1*1</f>
        <v>296.47738554287628</v>
      </c>
      <c r="M13">
        <f>Table9[[#This Row],[Sales]]-Table9[[#This Row],[MultForecast]]</f>
        <v>18.722614457123711</v>
      </c>
    </row>
    <row r="14" spans="1:16" x14ac:dyDescent="0.3">
      <c r="A14" s="375">
        <v>13</v>
      </c>
      <c r="B14" s="375">
        <v>2003</v>
      </c>
      <c r="C14" s="375">
        <v>1</v>
      </c>
      <c r="D14" s="375">
        <v>178.3</v>
      </c>
      <c r="E14">
        <f>$P$3+$O$3*Table9[[#This Row],[Time]]</f>
        <v>270.43464696223322</v>
      </c>
      <c r="F14">
        <f>Table9[[#This Row],[Sales]]/Table9[[#This Row],[Trend]]</f>
        <v>0.65930901237258999</v>
      </c>
      <c r="G14">
        <f t="shared" si="1"/>
        <v>0.78835407565274929</v>
      </c>
      <c r="H14">
        <f>Table9[[#This Row],[Seasonality]]*4/SUM($G$2:$G$5)</f>
        <v>0.79479077951232635</v>
      </c>
      <c r="I14">
        <f>Table9[[#This Row],[Sales]]/(Table9[[#This Row],[Trend]]*Table9[[#This Row],[SeasonalityCorr]])</f>
        <v>0.82953782223937433</v>
      </c>
      <c r="J14">
        <f t="shared" si="0"/>
        <v>0.96670031808195189</v>
      </c>
      <c r="K14">
        <f>Table9[[#This Row],[CI]]/Table9[[#This Row],[C]]</f>
        <v>0.8581127022749675</v>
      </c>
      <c r="L14">
        <f>Table9[[#This Row],[Trend]]*Table9[[#This Row],[SeasonalityCorr]]*1*1</f>
        <v>214.93896386625411</v>
      </c>
      <c r="M14">
        <f>Table9[[#This Row],[Sales]]-Table9[[#This Row],[MultForecast]]</f>
        <v>-36.638963866254102</v>
      </c>
    </row>
    <row r="15" spans="1:16" x14ac:dyDescent="0.3">
      <c r="A15" s="376">
        <v>14</v>
      </c>
      <c r="B15" s="376"/>
      <c r="C15" s="376">
        <v>2</v>
      </c>
      <c r="D15" s="376">
        <v>274.5</v>
      </c>
      <c r="E15">
        <f>$P$3+$O$3*Table9[[#This Row],[Time]]</f>
        <v>271.71869184455397</v>
      </c>
      <c r="F15">
        <f>Table9[[#This Row],[Sales]]/Table9[[#This Row],[Trend]]</f>
        <v>1.0102359839014579</v>
      </c>
      <c r="G15">
        <f>MEDIAN($F$3,$F$7,$F$11,$F$15,$F$19,$F$23,$F$27)</f>
        <v>0.99468099758388329</v>
      </c>
      <c r="H15">
        <f>Table9[[#This Row],[Seasonality]]*4/SUM($G$2:$G$5)</f>
        <v>1.0028023065412766</v>
      </c>
      <c r="I15">
        <f>Table9[[#This Row],[Sales]]/(Table9[[#This Row],[Trend]]*Table9[[#This Row],[SeasonalityCorr]])</f>
        <v>1.0074129041304467</v>
      </c>
      <c r="J15">
        <f t="shared" si="0"/>
        <v>0.93994667965110235</v>
      </c>
      <c r="K15">
        <f>Table9[[#This Row],[CI]]/Table9[[#This Row],[C]]</f>
        <v>1.0717766506759587</v>
      </c>
      <c r="L15">
        <f>Table9[[#This Row],[Trend]]*Table9[[#This Row],[SeasonalityCorr]]*1*1</f>
        <v>272.48013091209708</v>
      </c>
      <c r="M15">
        <f>Table9[[#This Row],[Sales]]-Table9[[#This Row],[MultForecast]]</f>
        <v>2.0198690879029186</v>
      </c>
    </row>
    <row r="16" spans="1:16" x14ac:dyDescent="0.3">
      <c r="A16" s="375">
        <v>15</v>
      </c>
      <c r="B16" s="375"/>
      <c r="C16" s="375">
        <v>3</v>
      </c>
      <c r="D16" s="375">
        <v>295.39999999999998</v>
      </c>
      <c r="E16">
        <f>$P$3+$O$3*Table9[[#This Row],[Time]]</f>
        <v>273.00273672687467</v>
      </c>
      <c r="F16">
        <f>Table9[[#This Row],[Sales]]/Table9[[#This Row],[Trend]]</f>
        <v>1.0820404349848427</v>
      </c>
      <c r="G16">
        <f>MEDIAN($F$4,$F$8,$F$12,$F$16,$F$20,$F$24,$F$28)</f>
        <v>1.0919616209657612</v>
      </c>
      <c r="H16">
        <f>Table9[[#This Row],[Seasonality]]*4/SUM($G$2:$G$5)</f>
        <v>1.100877200649117</v>
      </c>
      <c r="I16">
        <f>Table9[[#This Row],[Sales]]/(Table9[[#This Row],[Trend]]*Table9[[#This Row],[SeasonalityCorr]])</f>
        <v>0.98288931258348589</v>
      </c>
      <c r="J16">
        <f t="shared" si="0"/>
        <v>0.97940757433818282</v>
      </c>
      <c r="K16">
        <f>Table9[[#This Row],[CI]]/Table9[[#This Row],[C]]</f>
        <v>1.0035549431478064</v>
      </c>
      <c r="L16">
        <f>Table9[[#This Row],[Trend]]*Table9[[#This Row],[SeasonalityCorr]]*1*1</f>
        <v>300.54248857742965</v>
      </c>
      <c r="M16">
        <f>Table9[[#This Row],[Sales]]-Table9[[#This Row],[MultForecast]]</f>
        <v>-5.142488577429674</v>
      </c>
    </row>
    <row r="17" spans="1:13" x14ac:dyDescent="0.3">
      <c r="A17" s="376">
        <v>16</v>
      </c>
      <c r="B17" s="376"/>
      <c r="C17" s="376">
        <v>4</v>
      </c>
      <c r="D17" s="376">
        <v>286.39999999999998</v>
      </c>
      <c r="E17">
        <f>$P$3+$O$3*Table9[[#This Row],[Time]]</f>
        <v>274.28678160919543</v>
      </c>
      <c r="F17">
        <f>Table9[[#This Row],[Sales]]/Table9[[#This Row],[Trend]]</f>
        <v>1.04416260353393</v>
      </c>
      <c r="G17">
        <f>MEDIAN($F$5,$F$9,$F$13,$F$17,$F$21,$F$25,$F$29)</f>
        <v>1.0926088491657537</v>
      </c>
      <c r="H17">
        <f>Table9[[#This Row],[Seasonality]]*4/SUM($G$2:$G$5)</f>
        <v>1.1015297132972801</v>
      </c>
      <c r="I17">
        <f>Table9[[#This Row],[Sales]]/(Table9[[#This Row],[Trend]]*Table9[[#This Row],[SeasonalityCorr]])</f>
        <v>0.94792050630061586</v>
      </c>
      <c r="J17">
        <f t="shared" si="0"/>
        <v>0.93398618538695244</v>
      </c>
      <c r="K17">
        <f>Table9[[#This Row],[CI]]/Table9[[#This Row],[C]]</f>
        <v>1.0149191938078725</v>
      </c>
      <c r="L17">
        <f>Table9[[#This Row],[Trend]]*Table9[[#This Row],[SeasonalityCorr]]*1*1</f>
        <v>302.13503990721074</v>
      </c>
      <c r="M17">
        <f>Table9[[#This Row],[Sales]]-Table9[[#This Row],[MultForecast]]</f>
        <v>-15.735039907210762</v>
      </c>
    </row>
    <row r="18" spans="1:13" x14ac:dyDescent="0.3">
      <c r="A18" s="375">
        <v>17</v>
      </c>
      <c r="B18" s="375">
        <v>2004</v>
      </c>
      <c r="C18" s="375">
        <v>1</v>
      </c>
      <c r="D18" s="375">
        <v>190.8</v>
      </c>
      <c r="E18">
        <f>$P$3+$O$3*Table9[[#This Row],[Time]]</f>
        <v>275.57082649151619</v>
      </c>
      <c r="F18">
        <f>Table9[[#This Row],[Sales]]/Table9[[#This Row],[Trend]]</f>
        <v>0.69238098397137127</v>
      </c>
      <c r="G18">
        <f t="shared" si="1"/>
        <v>0.78835407565274929</v>
      </c>
      <c r="H18">
        <f>Table9[[#This Row],[Seasonality]]*4/SUM($G$2:$G$5)</f>
        <v>0.79479077951232635</v>
      </c>
      <c r="I18">
        <f>Table9[[#This Row],[Sales]]/(Table9[[#This Row],[Trend]]*Table9[[#This Row],[SeasonalityCorr]])</f>
        <v>0.87114873727675546</v>
      </c>
      <c r="J18">
        <f t="shared" si="0"/>
        <v>0.92272392070323439</v>
      </c>
      <c r="K18">
        <f>Table9[[#This Row],[CI]]/Table9[[#This Row],[C]]</f>
        <v>0.94410550949283722</v>
      </c>
      <c r="L18">
        <f>Table9[[#This Row],[Trend]]*Table9[[#This Row],[SeasonalityCorr]]*1*1</f>
        <v>219.0211519980482</v>
      </c>
      <c r="M18">
        <f>Table9[[#This Row],[Sales]]-Table9[[#This Row],[MultForecast]]</f>
        <v>-28.221151998048185</v>
      </c>
    </row>
    <row r="19" spans="1:13" x14ac:dyDescent="0.3">
      <c r="A19" s="376">
        <v>18</v>
      </c>
      <c r="B19" s="376"/>
      <c r="C19" s="376">
        <v>2</v>
      </c>
      <c r="D19" s="376">
        <v>263.5</v>
      </c>
      <c r="E19">
        <f>$P$3+$O$3*Table9[[#This Row],[Time]]</f>
        <v>276.85487137383694</v>
      </c>
      <c r="F19">
        <f>Table9[[#This Row],[Sales]]/Table9[[#This Row],[Trend]]</f>
        <v>0.95176219472835688</v>
      </c>
      <c r="G19">
        <f>MEDIAN($F$3,$F$7,$F$11,$F$15,$F$19,$F$23,$F$27)</f>
        <v>0.99468099758388329</v>
      </c>
      <c r="H19">
        <f>Table9[[#This Row],[Seasonality]]*4/SUM($G$2:$G$5)</f>
        <v>1.0028023065412766</v>
      </c>
      <c r="I19">
        <f>Table9[[#This Row],[Sales]]/(Table9[[#This Row],[Trend]]*Table9[[#This Row],[SeasonalityCorr]])</f>
        <v>0.94910251853233163</v>
      </c>
      <c r="J19">
        <f t="shared" si="0"/>
        <v>0.95380391364216399</v>
      </c>
      <c r="K19">
        <f>Table9[[#This Row],[CI]]/Table9[[#This Row],[C]]</f>
        <v>0.99507089974932084</v>
      </c>
      <c r="L19">
        <f>Table9[[#This Row],[Trend]]*Table9[[#This Row],[SeasonalityCorr]]*1*1</f>
        <v>277.63070359087214</v>
      </c>
      <c r="M19">
        <f>Table9[[#This Row],[Sales]]-Table9[[#This Row],[MultForecast]]</f>
        <v>-14.130703590872145</v>
      </c>
    </row>
    <row r="20" spans="1:13" x14ac:dyDescent="0.3">
      <c r="A20" s="375">
        <v>19</v>
      </c>
      <c r="B20" s="375"/>
      <c r="C20" s="375">
        <v>3</v>
      </c>
      <c r="D20" s="375">
        <v>318.8</v>
      </c>
      <c r="E20">
        <f>$P$3+$O$3*Table9[[#This Row],[Time]]</f>
        <v>278.1389162561577</v>
      </c>
      <c r="F20">
        <f>Table9[[#This Row],[Sales]]/Table9[[#This Row],[Trend]]</f>
        <v>1.146189840282525</v>
      </c>
      <c r="G20">
        <f>MEDIAN($F$4,$F$8,$F$12,$F$16,$F$20,$F$24,$F$28)</f>
        <v>1.0919616209657612</v>
      </c>
      <c r="H20">
        <f>Table9[[#This Row],[Seasonality]]*4/SUM($G$2:$G$5)</f>
        <v>1.100877200649117</v>
      </c>
      <c r="I20">
        <f>Table9[[#This Row],[Sales]]/(Table9[[#This Row],[Trend]]*Table9[[#This Row],[SeasonalityCorr]])</f>
        <v>1.0411604851174048</v>
      </c>
      <c r="J20">
        <f t="shared" si="0"/>
        <v>0.9940547964972577</v>
      </c>
      <c r="K20">
        <f>Table9[[#This Row],[CI]]/Table9[[#This Row],[C]]</f>
        <v>1.0473874164544379</v>
      </c>
      <c r="L20">
        <f>Table9[[#This Row],[Trend]]*Table9[[#This Row],[SeasonalityCorr]]*1*1</f>
        <v>306.19679151965806</v>
      </c>
      <c r="M20">
        <f>Table9[[#This Row],[Sales]]-Table9[[#This Row],[MultForecast]]</f>
        <v>12.603208480341948</v>
      </c>
    </row>
    <row r="21" spans="1:13" x14ac:dyDescent="0.3">
      <c r="A21" s="376">
        <v>20</v>
      </c>
      <c r="B21" s="376"/>
      <c r="C21" s="376">
        <v>4</v>
      </c>
      <c r="D21" s="376">
        <v>305.3</v>
      </c>
      <c r="E21">
        <f>$P$3+$O$3*Table9[[#This Row],[Time]]</f>
        <v>279.4229611384784</v>
      </c>
      <c r="F21">
        <f>Table9[[#This Row],[Sales]]/Table9[[#This Row],[Trend]]</f>
        <v>1.0926088491657537</v>
      </c>
      <c r="G21">
        <f>MEDIAN($F$5,$F$9,$F$13,$F$17,$F$21,$F$25,$F$29)</f>
        <v>1.0926088491657537</v>
      </c>
      <c r="H21">
        <f>Table9[[#This Row],[Seasonality]]*4/SUM($G$2:$G$5)</f>
        <v>1.1015297132972801</v>
      </c>
      <c r="I21">
        <f>Table9[[#This Row],[Sales]]/(Table9[[#This Row],[Trend]]*Table9[[#This Row],[SeasonalityCorr]])</f>
        <v>0.99190138584203691</v>
      </c>
      <c r="J21">
        <f t="shared" si="0"/>
        <v>1.0401501141377076</v>
      </c>
      <c r="K21">
        <f>Table9[[#This Row],[CI]]/Table9[[#This Row],[C]]</f>
        <v>0.95361368744773023</v>
      </c>
      <c r="L21">
        <f>Table9[[#This Row],[Trend]]*Table9[[#This Row],[SeasonalityCorr]]*1*1</f>
        <v>307.79269427154514</v>
      </c>
      <c r="M21">
        <f>Table9[[#This Row],[Sales]]-Table9[[#This Row],[MultForecast]]</f>
        <v>-2.4926942715451332</v>
      </c>
    </row>
    <row r="22" spans="1:13" x14ac:dyDescent="0.3">
      <c r="A22" s="375">
        <v>21</v>
      </c>
      <c r="B22" s="375">
        <v>2005</v>
      </c>
      <c r="C22" s="375">
        <v>1</v>
      </c>
      <c r="D22" s="375">
        <v>242.6</v>
      </c>
      <c r="E22">
        <f>$P$3+$O$3*Table9[[#This Row],[Time]]</f>
        <v>280.70700602079916</v>
      </c>
      <c r="F22">
        <f>Table9[[#This Row],[Sales]]/Table9[[#This Row],[Trend]]</f>
        <v>0.86424633085938862</v>
      </c>
      <c r="G22">
        <f t="shared" si="1"/>
        <v>0.78835407565274929</v>
      </c>
      <c r="H22">
        <f>Table9[[#This Row],[Seasonality]]*4/SUM($G$2:$G$5)</f>
        <v>0.79479077951232635</v>
      </c>
      <c r="I22">
        <f>Table9[[#This Row],[Sales]]/(Table9[[#This Row],[Trend]]*Table9[[#This Row],[SeasonalityCorr]])</f>
        <v>1.0873884714536817</v>
      </c>
      <c r="J22">
        <f t="shared" si="0"/>
        <v>1.0688876476578175</v>
      </c>
      <c r="K22">
        <f>Table9[[#This Row],[CI]]/Table9[[#This Row],[C]]</f>
        <v>1.0173084831098982</v>
      </c>
      <c r="L22">
        <f>Table9[[#This Row],[Trend]]*Table9[[#This Row],[SeasonalityCorr]]*1*1</f>
        <v>223.10334012984225</v>
      </c>
      <c r="M22">
        <f>Table9[[#This Row],[Sales]]-Table9[[#This Row],[MultForecast]]</f>
        <v>19.496659870157742</v>
      </c>
    </row>
    <row r="23" spans="1:13" x14ac:dyDescent="0.3">
      <c r="A23" s="376">
        <v>22</v>
      </c>
      <c r="B23" s="376"/>
      <c r="C23" s="376">
        <v>2</v>
      </c>
      <c r="D23" s="376">
        <v>318.8</v>
      </c>
      <c r="E23">
        <f>$P$3+$O$3*Table9[[#This Row],[Time]]</f>
        <v>281.99105090311991</v>
      </c>
      <c r="F23">
        <f>Table9[[#This Row],[Sales]]/Table9[[#This Row],[Trend]]</f>
        <v>1.1305323306501882</v>
      </c>
      <c r="G23">
        <f>MEDIAN($F$3,$F$7,$F$11,$F$15,$F$19,$F$23,$F$27)</f>
        <v>0.99468099758388329</v>
      </c>
      <c r="H23">
        <f>Table9[[#This Row],[Seasonality]]*4/SUM($G$2:$G$5)</f>
        <v>1.0028023065412766</v>
      </c>
      <c r="I23">
        <f>Table9[[#This Row],[Sales]]/(Table9[[#This Row],[Trend]]*Table9[[#This Row],[SeasonalityCorr]])</f>
        <v>1.1273730856777344</v>
      </c>
      <c r="J23">
        <f t="shared" si="0"/>
        <v>1.0905587460195569</v>
      </c>
      <c r="K23">
        <f>Table9[[#This Row],[CI]]/Table9[[#This Row],[C]]</f>
        <v>1.0337573191655622</v>
      </c>
      <c r="L23">
        <f>Table9[[#This Row],[Trend]]*Table9[[#This Row],[SeasonalityCorr]]*1*1</f>
        <v>282.78127626964715</v>
      </c>
      <c r="M23">
        <f>Table9[[#This Row],[Sales]]-Table9[[#This Row],[MultForecast]]</f>
        <v>36.01872373035286</v>
      </c>
    </row>
    <row r="24" spans="1:13" x14ac:dyDescent="0.3">
      <c r="A24" s="375">
        <v>23</v>
      </c>
      <c r="B24" s="375"/>
      <c r="C24" s="375">
        <v>3</v>
      </c>
      <c r="D24" s="375">
        <v>329.6</v>
      </c>
      <c r="E24">
        <f>$P$3+$O$3*Table9[[#This Row],[Time]]</f>
        <v>283.27509578544067</v>
      </c>
      <c r="F24">
        <f>Table9[[#This Row],[Sales]]/Table9[[#This Row],[Trend]]</f>
        <v>1.1635332752641514</v>
      </c>
      <c r="G24">
        <f>MEDIAN($F$4,$F$8,$F$12,$F$16,$F$20,$F$24,$F$28)</f>
        <v>1.0919616209657612</v>
      </c>
      <c r="H24">
        <f>Table9[[#This Row],[Seasonality]]*4/SUM($G$2:$G$5)</f>
        <v>1.100877200649117</v>
      </c>
      <c r="I24">
        <f>Table9[[#This Row],[Sales]]/(Table9[[#This Row],[Trend]]*Table9[[#This Row],[SeasonalityCorr]])</f>
        <v>1.0569146809272552</v>
      </c>
      <c r="J24">
        <f t="shared" si="0"/>
        <v>1.0877488427485478</v>
      </c>
      <c r="K24">
        <f>Table9[[#This Row],[CI]]/Table9[[#This Row],[C]]</f>
        <v>0.97165323408354065</v>
      </c>
      <c r="L24">
        <f>Table9[[#This Row],[Trend]]*Table9[[#This Row],[SeasonalityCorr]]*1*1</f>
        <v>311.85109446188642</v>
      </c>
      <c r="M24">
        <f>Table9[[#This Row],[Sales]]-Table9[[#This Row],[MultForecast]]</f>
        <v>17.748905538113604</v>
      </c>
    </row>
    <row r="25" spans="1:13" x14ac:dyDescent="0.3">
      <c r="A25" s="376">
        <v>24</v>
      </c>
      <c r="B25" s="376"/>
      <c r="C25" s="376">
        <v>4</v>
      </c>
      <c r="D25" s="376">
        <v>338.2</v>
      </c>
      <c r="E25">
        <f>$P$3+$O$3*Table9[[#This Row],[Time]]</f>
        <v>284.55914066776143</v>
      </c>
      <c r="F25">
        <f>Table9[[#This Row],[Sales]]/Table9[[#This Row],[Trend]]</f>
        <v>1.1885051353696181</v>
      </c>
      <c r="G25">
        <f>MEDIAN($F$5,$F$9,$F$13,$F$17,$F$21,$F$25,$F$29)</f>
        <v>1.0926088491657537</v>
      </c>
      <c r="H25">
        <f>Table9[[#This Row],[Seasonality]]*4/SUM($G$2:$G$5)</f>
        <v>1.1015297132972801</v>
      </c>
      <c r="I25">
        <f>Table9[[#This Row],[Sales]]/(Table9[[#This Row],[Trend]]*Table9[[#This Row],[SeasonalityCorr]])</f>
        <v>1.078958761640654</v>
      </c>
      <c r="J25">
        <f t="shared" si="0"/>
        <v>1.0525018059596238</v>
      </c>
      <c r="K25">
        <f>Table9[[#This Row],[CI]]/Table9[[#This Row],[C]]</f>
        <v>1.0251372069209019</v>
      </c>
      <c r="L25">
        <f>Table9[[#This Row],[Trend]]*Table9[[#This Row],[SeasonalityCorr]]*1*1</f>
        <v>313.45034863587966</v>
      </c>
      <c r="M25">
        <f>Table9[[#This Row],[Sales]]-Table9[[#This Row],[MultForecast]]</f>
        <v>24.749651364120325</v>
      </c>
    </row>
    <row r="26" spans="1:13" x14ac:dyDescent="0.3">
      <c r="A26" s="375">
        <v>25</v>
      </c>
      <c r="B26" s="375">
        <v>2006</v>
      </c>
      <c r="C26" s="375">
        <v>1</v>
      </c>
      <c r="D26" s="375">
        <v>232.1</v>
      </c>
      <c r="E26">
        <f>$P$3+$O$3*Table9[[#This Row],[Time]]</f>
        <v>285.84318555008213</v>
      </c>
      <c r="F26">
        <f>Table9[[#This Row],[Sales]]/Table9[[#This Row],[Trend]]</f>
        <v>0.81198367403211757</v>
      </c>
      <c r="G26">
        <f t="shared" si="1"/>
        <v>0.78835407565274929</v>
      </c>
      <c r="H26">
        <f>Table9[[#This Row],[Seasonality]]*4/SUM($G$2:$G$5)</f>
        <v>0.79479077951232635</v>
      </c>
      <c r="I26">
        <f>Table9[[#This Row],[Sales]]/(Table9[[#This Row],[Trend]]*Table9[[#This Row],[SeasonalityCorr]])</f>
        <v>1.0216319753109624</v>
      </c>
      <c r="J26">
        <f t="shared" si="0"/>
        <v>1.0308307075978844</v>
      </c>
      <c r="K26">
        <f>Table9[[#This Row],[CI]]/Table9[[#This Row],[C]]</f>
        <v>0.991076388955896</v>
      </c>
      <c r="L26">
        <f>Table9[[#This Row],[Trend]]*Table9[[#This Row],[SeasonalityCorr]]*1*1</f>
        <v>227.18552826163631</v>
      </c>
      <c r="M26">
        <f>Table9[[#This Row],[Sales]]-Table9[[#This Row],[MultForecast]]</f>
        <v>4.9144717383636873</v>
      </c>
    </row>
    <row r="27" spans="1:13" x14ac:dyDescent="0.3">
      <c r="A27" s="376">
        <v>26</v>
      </c>
      <c r="B27" s="376"/>
      <c r="C27" s="376">
        <v>2</v>
      </c>
      <c r="D27" s="376">
        <v>285.60000000000002</v>
      </c>
      <c r="E27">
        <f>$P$3+$O$3*Table9[[#This Row],[Time]]</f>
        <v>287.12723043240288</v>
      </c>
      <c r="F27">
        <f>Table9[[#This Row],[Sales]]/Table9[[#This Row],[Trend]]</f>
        <v>0.99468099758388329</v>
      </c>
      <c r="G27">
        <f>MEDIAN($F$3,$F$7,$F$11,$F$15,$F$19,$F$23,$F$27)</f>
        <v>0.99468099758388329</v>
      </c>
      <c r="H27">
        <f>Table9[[#This Row],[Seasonality]]*4/SUM($G$2:$G$5)</f>
        <v>1.0028023065412766</v>
      </c>
      <c r="I27">
        <f>Table9[[#This Row],[Sales]]/(Table9[[#This Row],[Trend]]*Table9[[#This Row],[SeasonalityCorr]])</f>
        <v>0.99190138584203691</v>
      </c>
      <c r="J27">
        <f t="shared" si="0"/>
        <v>0.97668440455438754</v>
      </c>
      <c r="K27">
        <f>Table9[[#This Row],[CI]]/Table9[[#This Row],[C]]</f>
        <v>1.0155802439525921</v>
      </c>
      <c r="L27">
        <f>Table9[[#This Row],[Trend]]*Table9[[#This Row],[SeasonalityCorr]]*1*1</f>
        <v>287.93184894842221</v>
      </c>
      <c r="M27">
        <f>Table9[[#This Row],[Sales]]-Table9[[#This Row],[MultForecast]]</f>
        <v>-2.3318489484221914</v>
      </c>
    </row>
    <row r="28" spans="1:13" x14ac:dyDescent="0.3">
      <c r="A28" s="375">
        <v>27</v>
      </c>
      <c r="B28" s="375"/>
      <c r="C28" s="375">
        <v>3</v>
      </c>
      <c r="D28" s="375">
        <v>291</v>
      </c>
      <c r="E28">
        <f>$P$3+$O$3*Table9[[#This Row],[Time]]</f>
        <v>288.41127531472364</v>
      </c>
      <c r="F28">
        <f>Table9[[#This Row],[Sales]]/Table9[[#This Row],[Trend]]</f>
        <v>1.00897580957073</v>
      </c>
      <c r="G28">
        <f>MEDIAN($F$4,$F$8,$F$12,$F$16,$F$20,$F$24,$F$28)</f>
        <v>1.0919616209657612</v>
      </c>
      <c r="H28">
        <f>Table9[[#This Row],[Seasonality]]*4/SUM($G$2:$G$5)</f>
        <v>1.100877200649117</v>
      </c>
      <c r="I28">
        <f>Table9[[#This Row],[Sales]]/(Table9[[#This Row],[Trend]]*Table9[[#This Row],[SeasonalityCorr]])</f>
        <v>0.91651985251016332</v>
      </c>
      <c r="J28">
        <f t="shared" si="0"/>
        <v>0.93008477995162131</v>
      </c>
      <c r="K28">
        <f>Table9[[#This Row],[CI]]/Table9[[#This Row],[C]]</f>
        <v>0.98541538606602774</v>
      </c>
      <c r="L28">
        <f>Table9[[#This Row],[Trend]]*Table9[[#This Row],[SeasonalityCorr]]*1*1</f>
        <v>317.50539740411472</v>
      </c>
      <c r="M28">
        <f>Table9[[#This Row],[Sales]]-Table9[[#This Row],[MultForecast]]</f>
        <v>-26.505397404114717</v>
      </c>
    </row>
    <row r="29" spans="1:13" x14ac:dyDescent="0.3">
      <c r="A29" s="376">
        <v>28</v>
      </c>
      <c r="B29" s="376"/>
      <c r="C29" s="376">
        <v>4</v>
      </c>
      <c r="D29" s="376">
        <v>281.39999999999998</v>
      </c>
      <c r="E29">
        <f>$P$3+$O$3*Table9[[#This Row],[Time]]</f>
        <v>289.6953201970444</v>
      </c>
      <c r="F29">
        <f>Table9[[#This Row],[Sales]]/Table9[[#This Row],[Trend]]</f>
        <v>0.97136536347428004</v>
      </c>
      <c r="G29">
        <f>MEDIAN($F$5,$F$9,$F$13,$F$17,$F$21,$F$25,$F$29)</f>
        <v>1.0926088491657537</v>
      </c>
      <c r="H29">
        <f>Table9[[#This Row],[Seasonality]]*4/SUM($G$2:$G$5)</f>
        <v>1.1015297132972801</v>
      </c>
      <c r="I29">
        <f>Table9[[#This Row],[Sales]]/(Table9[[#This Row],[Trend]]*Table9[[#This Row],[SeasonalityCorr]])</f>
        <v>0.88183310150266336</v>
      </c>
      <c r="L29">
        <f>Table9[[#This Row],[Trend]]*Table9[[#This Row],[SeasonalityCorr]]*1*1</f>
        <v>319.10800300021407</v>
      </c>
      <c r="M29">
        <f>Table9[[#This Row],[Sales]]-Table9[[#This Row],[MultForecast]]</f>
        <v>-37.708003000214092</v>
      </c>
    </row>
    <row r="30" spans="1:13" x14ac:dyDescent="0.3">
      <c r="A30" s="375">
        <v>29</v>
      </c>
      <c r="B30" s="375">
        <v>2007</v>
      </c>
      <c r="C30" s="375">
        <v>1</v>
      </c>
      <c r="D30" s="375"/>
      <c r="E30">
        <f>$P$3+$O$3*Table9[[#This Row],[Time]]</f>
        <v>290.97936507936515</v>
      </c>
      <c r="F30">
        <f>Table9[[#This Row],[Sales]]/Table9[[#This Row],[Trend]]</f>
        <v>0</v>
      </c>
      <c r="G30">
        <f t="shared" si="1"/>
        <v>0.78835407565274929</v>
      </c>
      <c r="H30">
        <f>Table9[[#This Row],[Seasonality]]*4/SUM($G$2:$G$5)</f>
        <v>0.79479077951232635</v>
      </c>
      <c r="L30">
        <f>Table9[[#This Row],[Trend]]*Table9[[#This Row],[SeasonalityCorr]]*1*1</f>
        <v>231.26771639343042</v>
      </c>
      <c r="M30">
        <f>Table9[[#This Row],[Sales]]-Table9[[#This Row],[MultForecast]]</f>
        <v>-231.26771639343042</v>
      </c>
    </row>
    <row r="31" spans="1:13" x14ac:dyDescent="0.3">
      <c r="A31" s="376">
        <v>30</v>
      </c>
      <c r="B31" s="376"/>
      <c r="C31" s="376">
        <v>2</v>
      </c>
      <c r="D31" s="376"/>
      <c r="E31">
        <f>$P$3+$O$3*Table9[[#This Row],[Time]]</f>
        <v>292.26340996168585</v>
      </c>
      <c r="F31">
        <f>Table9[[#This Row],[Sales]]/Table9[[#This Row],[Trend]]</f>
        <v>0</v>
      </c>
      <c r="G31">
        <f>MEDIAN($F$3,$F$7,$F$11,$F$15,$F$19,$F$23,$F$27)</f>
        <v>0.99468099758388329</v>
      </c>
      <c r="H31">
        <f>Table9[[#This Row],[Seasonality]]*4/SUM($G$2:$G$5)</f>
        <v>1.0028023065412766</v>
      </c>
      <c r="L31">
        <f>Table9[[#This Row],[Trend]]*Table9[[#This Row],[SeasonalityCorr]]*1*1</f>
        <v>293.08242162719728</v>
      </c>
      <c r="M31">
        <f>Table9[[#This Row],[Sales]]-Table9[[#This Row],[MultForecast]]</f>
        <v>-293.08242162719728</v>
      </c>
    </row>
    <row r="32" spans="1:13" x14ac:dyDescent="0.3">
      <c r="A32" s="375">
        <v>31</v>
      </c>
      <c r="B32" s="375"/>
      <c r="C32" s="375">
        <v>3</v>
      </c>
      <c r="D32" s="375"/>
      <c r="E32">
        <f>$P$3+$O$3*Table9[[#This Row],[Time]]</f>
        <v>293.54745484400661</v>
      </c>
      <c r="F32">
        <f>Table9[[#This Row],[Sales]]/Table9[[#This Row],[Trend]]</f>
        <v>0</v>
      </c>
      <c r="G32">
        <f>MEDIAN($F$4,$F$8,$F$12,$F$16,$F$20,$F$24,$F$28)</f>
        <v>1.0919616209657612</v>
      </c>
      <c r="H32">
        <f>Table9[[#This Row],[Seasonality]]*4/SUM($G$2:$G$5)</f>
        <v>1.100877200649117</v>
      </c>
      <c r="L32">
        <f>Table9[[#This Row],[Trend]]*Table9[[#This Row],[SeasonalityCorr]]*1*1</f>
        <v>323.15970034634307</v>
      </c>
      <c r="M32">
        <f>Table9[[#This Row],[Sales]]-Table9[[#This Row],[MultForecast]]</f>
        <v>-323.15970034634307</v>
      </c>
    </row>
    <row r="33" spans="1:13" x14ac:dyDescent="0.3">
      <c r="A33" s="377">
        <v>32</v>
      </c>
      <c r="B33" s="377"/>
      <c r="C33" s="377">
        <v>4</v>
      </c>
      <c r="D33" s="377"/>
      <c r="E33">
        <f>$P$3+$O$3*Table9[[#This Row],[Time]]</f>
        <v>294.83149972632737</v>
      </c>
      <c r="F33">
        <f>Table9[[#This Row],[Sales]]/Table9[[#This Row],[Trend]]</f>
        <v>0</v>
      </c>
      <c r="G33">
        <f>MEDIAN($F$5,$F$9,$F$13,$F$17,$F$21,$F$25,$F$29)</f>
        <v>1.0926088491657537</v>
      </c>
      <c r="H33">
        <f>Table9[[#This Row],[Seasonality]]*4/SUM($G$2:$G$5)</f>
        <v>1.1015297132972801</v>
      </c>
      <c r="L33">
        <f>Table9[[#This Row],[Trend]]*Table9[[#This Row],[SeasonalityCorr]]*1*1</f>
        <v>324.76565736454847</v>
      </c>
      <c r="M33">
        <f>Table9[[#This Row],[Sales]]-Table9[[#This Row],[MultForecast]]</f>
        <v>-324.76565736454847</v>
      </c>
    </row>
    <row r="34" spans="1:13" x14ac:dyDescent="0.3">
      <c r="A34" s="376"/>
      <c r="B34" s="376"/>
      <c r="C34" s="376"/>
      <c r="D34" s="376"/>
      <c r="E34" s="333"/>
      <c r="F34" s="333"/>
      <c r="G34" s="333"/>
      <c r="H34" s="333"/>
      <c r="I34" s="333"/>
      <c r="J34" s="333"/>
      <c r="K34" s="333"/>
      <c r="L34" s="333"/>
      <c r="M34" s="333">
        <f>SUMPRODUCT(M2:M29,M2:M29)</f>
        <v>14462.059077825586</v>
      </c>
    </row>
  </sheetData>
  <phoneticPr fontId="1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12490-590A-4819-AA75-DAD17FD9D940}">
  <dimension ref="A1:O66"/>
  <sheetViews>
    <sheetView workbookViewId="0">
      <selection activeCell="H15" sqref="H15"/>
    </sheetView>
  </sheetViews>
  <sheetFormatPr defaultRowHeight="14.4" x14ac:dyDescent="0.3"/>
  <cols>
    <col min="1" max="1" width="7" style="294" customWidth="1"/>
    <col min="2" max="2" width="7" style="294" bestFit="1" customWidth="1"/>
    <col min="3" max="3" width="8.88671875" style="294"/>
    <col min="4" max="9" width="10.21875" style="294" customWidth="1"/>
    <col min="10" max="10" width="12.6640625" style="294" customWidth="1"/>
    <col min="11" max="11" width="8.5546875" style="294" customWidth="1"/>
    <col min="12" max="12" width="13.33203125" style="294" customWidth="1"/>
    <col min="13" max="13" width="9.88671875" style="294" customWidth="1"/>
    <col min="14" max="14" width="11" style="294" bestFit="1" customWidth="1"/>
    <col min="15" max="15" width="12" style="294" bestFit="1" customWidth="1"/>
    <col min="16" max="16" width="9.5546875" style="294" customWidth="1"/>
    <col min="17" max="16384" width="8.88671875" style="294"/>
  </cols>
  <sheetData>
    <row r="1" spans="1:15" ht="15" thickBot="1" x14ac:dyDescent="0.35">
      <c r="A1" s="311" t="s">
        <v>108</v>
      </c>
      <c r="B1" s="312" t="s">
        <v>44</v>
      </c>
      <c r="C1" s="311" t="s">
        <v>109</v>
      </c>
      <c r="D1" s="313" t="s">
        <v>110</v>
      </c>
      <c r="E1" s="313" t="s">
        <v>111</v>
      </c>
      <c r="F1" s="313" t="s">
        <v>112</v>
      </c>
      <c r="G1" s="313" t="s">
        <v>113</v>
      </c>
      <c r="H1" s="313" t="s">
        <v>114</v>
      </c>
      <c r="I1" s="314" t="s">
        <v>115</v>
      </c>
      <c r="J1" s="315" t="s">
        <v>116</v>
      </c>
      <c r="K1" s="316" t="s">
        <v>107</v>
      </c>
      <c r="L1" s="317" t="s">
        <v>117</v>
      </c>
    </row>
    <row r="2" spans="1:15" ht="15" thickBot="1" x14ac:dyDescent="0.35">
      <c r="A2" s="297">
        <v>1</v>
      </c>
      <c r="B2" s="308">
        <v>222.34</v>
      </c>
      <c r="J2" s="307">
        <f>B2</f>
        <v>222.34</v>
      </c>
      <c r="K2" s="294">
        <v>0</v>
      </c>
      <c r="L2" s="294">
        <f>B2</f>
        <v>222.34</v>
      </c>
      <c r="N2" s="303" t="s">
        <v>118</v>
      </c>
      <c r="O2" s="304">
        <f>COUNT(C3:C66)</f>
        <v>64</v>
      </c>
    </row>
    <row r="3" spans="1:15" x14ac:dyDescent="0.3">
      <c r="A3" s="296">
        <v>2</v>
      </c>
      <c r="B3" s="309">
        <v>222.24</v>
      </c>
      <c r="C3" s="294">
        <f>B3-B2</f>
        <v>-9.9999999999994316E-2</v>
      </c>
      <c r="J3" s="307">
        <f>B3</f>
        <v>222.24</v>
      </c>
      <c r="K3" s="294">
        <f>C3-$O$11+K2*$O$10</f>
        <v>-1.1348437499999942</v>
      </c>
      <c r="L3" s="294">
        <f>B2+$O$11-K2*$O$10</f>
        <v>223.37484375</v>
      </c>
    </row>
    <row r="4" spans="1:15" x14ac:dyDescent="0.3">
      <c r="A4" s="295">
        <v>3</v>
      </c>
      <c r="B4" s="310">
        <v>221.17</v>
      </c>
      <c r="C4" s="294">
        <f t="shared" ref="C4:C66" si="0">B4-B3</f>
        <v>-1.0700000000000216</v>
      </c>
      <c r="D4" s="294">
        <f>C3</f>
        <v>-9.9999999999994316E-2</v>
      </c>
      <c r="J4" s="307">
        <f>B3+$O$8+$N$8*C3</f>
        <v>222.97708523962331</v>
      </c>
      <c r="K4" s="294">
        <f>C4-$O$11+K3*$O$10</f>
        <v>-1.7753403590385926</v>
      </c>
      <c r="L4" s="294">
        <f t="shared" ref="L4:L66" si="1">B3+$O$11-K3*$O$10</f>
        <v>222.94534035903857</v>
      </c>
    </row>
    <row r="5" spans="1:15" ht="15" thickBot="1" x14ac:dyDescent="0.35">
      <c r="A5" s="296">
        <v>4</v>
      </c>
      <c r="B5" s="309">
        <v>218.88</v>
      </c>
      <c r="C5" s="294">
        <f t="shared" si="0"/>
        <v>-2.289999999999992</v>
      </c>
      <c r="D5" s="294">
        <f t="shared" ref="D5:H66" si="2">C4</f>
        <v>-1.0700000000000216</v>
      </c>
      <c r="E5" s="294">
        <f>D4</f>
        <v>-9.9999999999994316E-2</v>
      </c>
      <c r="J5" s="307">
        <f t="shared" ref="J5:J66" si="3">B4+$O$8+$N$8*C4</f>
        <v>221.63255371299618</v>
      </c>
      <c r="K5" s="294">
        <f t="shared" ref="K4:K66" si="4">C5-$O$11+K4*$O$10</f>
        <v>-2.8093713174171802</v>
      </c>
      <c r="L5" s="294">
        <f t="shared" si="1"/>
        <v>221.68937131741717</v>
      </c>
    </row>
    <row r="6" spans="1:15" ht="15" thickBot="1" x14ac:dyDescent="0.35">
      <c r="A6" s="295">
        <v>5</v>
      </c>
      <c r="B6" s="310">
        <v>220.05</v>
      </c>
      <c r="C6" s="294">
        <f t="shared" si="0"/>
        <v>1.1700000000000159</v>
      </c>
      <c r="D6" s="294">
        <f t="shared" si="2"/>
        <v>-2.289999999999992</v>
      </c>
      <c r="E6" s="294">
        <f t="shared" si="2"/>
        <v>-1.0700000000000216</v>
      </c>
      <c r="F6" s="294">
        <f>E5</f>
        <v>-9.9999999999994316E-2</v>
      </c>
      <c r="J6" s="307">
        <f t="shared" si="3"/>
        <v>218.99726663826931</v>
      </c>
      <c r="K6" s="294">
        <f t="shared" si="4"/>
        <v>0.95086094552197031</v>
      </c>
      <c r="L6" s="294">
        <f t="shared" si="1"/>
        <v>219.09913905447803</v>
      </c>
      <c r="N6" s="188" t="s">
        <v>81</v>
      </c>
      <c r="O6" s="189" t="s">
        <v>80</v>
      </c>
    </row>
    <row r="7" spans="1:15" x14ac:dyDescent="0.3">
      <c r="A7" s="296">
        <v>6</v>
      </c>
      <c r="B7" s="309">
        <v>219.61</v>
      </c>
      <c r="C7" s="294">
        <f t="shared" si="0"/>
        <v>-0.43999999999999773</v>
      </c>
      <c r="D7" s="294">
        <f t="shared" si="2"/>
        <v>1.1700000000000159</v>
      </c>
      <c r="E7" s="294">
        <f t="shared" si="2"/>
        <v>-2.289999999999992</v>
      </c>
      <c r="F7" s="294">
        <f t="shared" si="2"/>
        <v>-1.0700000000000216</v>
      </c>
      <c r="G7" s="294">
        <f>F6</f>
        <v>-9.9999999999994316E-2</v>
      </c>
      <c r="J7" s="307">
        <f t="shared" si="3"/>
        <v>221.14652342397017</v>
      </c>
      <c r="K7" s="294">
        <f t="shared" si="4"/>
        <v>-1.7509274891775553</v>
      </c>
      <c r="L7" s="294">
        <f t="shared" si="1"/>
        <v>221.36092748917756</v>
      </c>
      <c r="N7" s="298" t="s">
        <v>119</v>
      </c>
      <c r="O7" s="299"/>
    </row>
    <row r="8" spans="1:15" ht="15" thickBot="1" x14ac:dyDescent="0.35">
      <c r="A8" s="295">
        <v>7</v>
      </c>
      <c r="B8" s="310">
        <v>216.4</v>
      </c>
      <c r="C8" s="294">
        <f t="shared" si="0"/>
        <v>-3.210000000000008</v>
      </c>
      <c r="D8" s="294">
        <f t="shared" si="2"/>
        <v>-0.43999999999999773</v>
      </c>
      <c r="E8" s="294">
        <f t="shared" si="2"/>
        <v>1.1700000000000159</v>
      </c>
      <c r="F8" s="294">
        <f t="shared" si="2"/>
        <v>-2.289999999999992</v>
      </c>
      <c r="G8" s="294">
        <f t="shared" si="2"/>
        <v>-1.0700000000000216</v>
      </c>
      <c r="H8" s="294">
        <f>G7</f>
        <v>-9.9999999999994316E-2</v>
      </c>
      <c r="J8" s="307">
        <f t="shared" si="3"/>
        <v>220.25085769420764</v>
      </c>
      <c r="K8" s="294">
        <f t="shared" si="4"/>
        <v>-3.7364596266247965</v>
      </c>
      <c r="L8" s="294">
        <f t="shared" si="1"/>
        <v>220.1364596266248</v>
      </c>
      <c r="N8" s="291" cm="1">
        <f t="array" ref="N8:O8">LINEST(C4:C66,D4:D66)</f>
        <v>0.28302219239908721</v>
      </c>
      <c r="O8" s="293">
        <v>0.7653874588632128</v>
      </c>
    </row>
    <row r="9" spans="1:15" ht="15" thickBot="1" x14ac:dyDescent="0.35">
      <c r="A9" s="296">
        <v>8</v>
      </c>
      <c r="B9" s="309">
        <v>217.33</v>
      </c>
      <c r="C9" s="294">
        <f t="shared" si="0"/>
        <v>0.93000000000000682</v>
      </c>
      <c r="D9" s="294">
        <f t="shared" si="2"/>
        <v>-3.210000000000008</v>
      </c>
      <c r="E9" s="294">
        <f t="shared" si="2"/>
        <v>-0.43999999999999773</v>
      </c>
      <c r="F9" s="294">
        <f t="shared" si="2"/>
        <v>1.1700000000000159</v>
      </c>
      <c r="G9" s="294">
        <f t="shared" si="2"/>
        <v>-2.289999999999992</v>
      </c>
      <c r="H9" s="294">
        <f t="shared" si="2"/>
        <v>-1.0700000000000216</v>
      </c>
      <c r="I9" s="294">
        <f>H8</f>
        <v>-9.9999999999994316E-2</v>
      </c>
      <c r="J9" s="307">
        <f t="shared" si="3"/>
        <v>216.25688622126216</v>
      </c>
      <c r="K9" s="294">
        <f t="shared" si="4"/>
        <v>0.98004226815303608</v>
      </c>
      <c r="L9" s="294">
        <f t="shared" si="1"/>
        <v>216.34995773184696</v>
      </c>
    </row>
    <row r="10" spans="1:15" x14ac:dyDescent="0.3">
      <c r="A10" s="295">
        <v>9</v>
      </c>
      <c r="B10" s="310">
        <v>219.69</v>
      </c>
      <c r="C10" s="294">
        <f t="shared" si="0"/>
        <v>2.3599999999999852</v>
      </c>
      <c r="D10" s="294">
        <f t="shared" si="2"/>
        <v>0.93000000000000682</v>
      </c>
      <c r="E10" s="294">
        <f t="shared" si="2"/>
        <v>-3.210000000000008</v>
      </c>
      <c r="F10" s="294">
        <f t="shared" si="2"/>
        <v>-0.43999999999999773</v>
      </c>
      <c r="G10" s="294">
        <f t="shared" si="2"/>
        <v>1.1700000000000159</v>
      </c>
      <c r="H10" s="294">
        <f t="shared" si="2"/>
        <v>-2.289999999999992</v>
      </c>
      <c r="I10" s="294">
        <f t="shared" ref="I10:I66" si="5">H9</f>
        <v>-1.0700000000000216</v>
      </c>
      <c r="J10" s="307">
        <f t="shared" si="3"/>
        <v>218.35859809779438</v>
      </c>
      <c r="K10" s="294">
        <f t="shared" si="4"/>
        <v>1.040599675016022</v>
      </c>
      <c r="L10" s="294">
        <f t="shared" si="1"/>
        <v>218.64940032498396</v>
      </c>
      <c r="N10" s="300" t="s">
        <v>121</v>
      </c>
      <c r="O10" s="158">
        <v>-0.29035132894852766</v>
      </c>
    </row>
    <row r="11" spans="1:15" x14ac:dyDescent="0.3">
      <c r="A11" s="296">
        <v>10</v>
      </c>
      <c r="B11" s="309">
        <v>219.32</v>
      </c>
      <c r="C11" s="294">
        <f t="shared" si="0"/>
        <v>-0.37000000000000455</v>
      </c>
      <c r="D11" s="294">
        <f t="shared" si="2"/>
        <v>2.3599999999999852</v>
      </c>
      <c r="E11" s="294">
        <f t="shared" si="2"/>
        <v>0.93000000000000682</v>
      </c>
      <c r="F11" s="294">
        <f t="shared" si="2"/>
        <v>-3.210000000000008</v>
      </c>
      <c r="G11" s="294">
        <f t="shared" si="2"/>
        <v>-0.43999999999999773</v>
      </c>
      <c r="H11" s="294">
        <f t="shared" si="2"/>
        <v>1.1700000000000159</v>
      </c>
      <c r="I11" s="294">
        <f t="shared" si="5"/>
        <v>-2.289999999999992</v>
      </c>
      <c r="J11" s="307">
        <f t="shared" si="3"/>
        <v>221.12331983292506</v>
      </c>
      <c r="K11" s="294">
        <f t="shared" si="4"/>
        <v>-1.7069832485443124</v>
      </c>
      <c r="L11" s="294">
        <f t="shared" si="1"/>
        <v>221.0269832485443</v>
      </c>
      <c r="N11" s="301" t="s">
        <v>120</v>
      </c>
      <c r="O11" s="292">
        <f>AVERAGE(C3:C66)</f>
        <v>1.0348437499999998</v>
      </c>
    </row>
    <row r="12" spans="1:15" x14ac:dyDescent="0.3">
      <c r="A12" s="295">
        <v>11</v>
      </c>
      <c r="B12" s="310">
        <v>218.25</v>
      </c>
      <c r="C12" s="294">
        <f t="shared" si="0"/>
        <v>-1.0699999999999932</v>
      </c>
      <c r="D12" s="294">
        <f t="shared" si="2"/>
        <v>-0.37000000000000455</v>
      </c>
      <c r="E12" s="294">
        <f t="shared" si="2"/>
        <v>2.3599999999999852</v>
      </c>
      <c r="F12" s="294">
        <f t="shared" si="2"/>
        <v>0.93000000000000682</v>
      </c>
      <c r="G12" s="294">
        <f t="shared" si="2"/>
        <v>-3.210000000000008</v>
      </c>
      <c r="H12" s="294">
        <f t="shared" si="2"/>
        <v>-0.43999999999999773</v>
      </c>
      <c r="I12" s="294">
        <f t="shared" si="5"/>
        <v>1.1700000000000159</v>
      </c>
      <c r="J12" s="307">
        <f t="shared" si="3"/>
        <v>219.98066924767554</v>
      </c>
      <c r="K12" s="294">
        <f t="shared" si="4"/>
        <v>-1.609218895292277</v>
      </c>
      <c r="L12" s="294">
        <f t="shared" si="1"/>
        <v>219.85921889529226</v>
      </c>
      <c r="N12" s="301" t="s">
        <v>122</v>
      </c>
      <c r="O12" s="292">
        <f>_xlfn.VAR.P(C3:C66)/(1+O10^2)</f>
        <v>3.4351733590866647</v>
      </c>
    </row>
    <row r="13" spans="1:15" ht="15" thickBot="1" x14ac:dyDescent="0.35">
      <c r="A13" s="296">
        <v>12</v>
      </c>
      <c r="B13" s="309">
        <v>220.3</v>
      </c>
      <c r="C13" s="294">
        <f t="shared" si="0"/>
        <v>2.0500000000000114</v>
      </c>
      <c r="D13" s="294">
        <f t="shared" si="2"/>
        <v>-1.0699999999999932</v>
      </c>
      <c r="E13" s="294">
        <f t="shared" si="2"/>
        <v>-0.37000000000000455</v>
      </c>
      <c r="F13" s="294">
        <f t="shared" si="2"/>
        <v>2.3599999999999852</v>
      </c>
      <c r="G13" s="294">
        <f t="shared" si="2"/>
        <v>0.93000000000000682</v>
      </c>
      <c r="H13" s="294">
        <f t="shared" si="2"/>
        <v>-3.210000000000008</v>
      </c>
      <c r="I13" s="294">
        <f t="shared" si="5"/>
        <v>-0.43999999999999773</v>
      </c>
      <c r="J13" s="307">
        <f t="shared" si="3"/>
        <v>218.7125537129962</v>
      </c>
      <c r="K13" s="294">
        <f t="shared" si="4"/>
        <v>1.4823950948172058</v>
      </c>
      <c r="L13" s="294">
        <f t="shared" si="1"/>
        <v>218.8176049051828</v>
      </c>
      <c r="N13" s="302" t="s">
        <v>123</v>
      </c>
      <c r="O13" s="293">
        <f>SUMSQ(K3:K66)</f>
        <v>219.46432356806386</v>
      </c>
    </row>
    <row r="14" spans="1:15" x14ac:dyDescent="0.3">
      <c r="A14" s="295">
        <v>13</v>
      </c>
      <c r="B14" s="310">
        <v>222.54</v>
      </c>
      <c r="C14" s="294">
        <f t="shared" si="0"/>
        <v>2.2399999999999807</v>
      </c>
      <c r="D14" s="294">
        <f t="shared" si="2"/>
        <v>2.0500000000000114</v>
      </c>
      <c r="E14" s="294">
        <f t="shared" si="2"/>
        <v>-1.0699999999999932</v>
      </c>
      <c r="F14" s="294">
        <f t="shared" si="2"/>
        <v>-0.37000000000000455</v>
      </c>
      <c r="G14" s="294">
        <f t="shared" si="2"/>
        <v>2.3599999999999852</v>
      </c>
      <c r="H14" s="294">
        <f t="shared" si="2"/>
        <v>0.93000000000000682</v>
      </c>
      <c r="I14" s="294">
        <f t="shared" si="5"/>
        <v>-3.210000000000008</v>
      </c>
      <c r="J14" s="307">
        <f t="shared" si="3"/>
        <v>221.64558295328135</v>
      </c>
      <c r="K14" s="294">
        <f t="shared" si="4"/>
        <v>0.77474086419302646</v>
      </c>
      <c r="L14" s="294">
        <f t="shared" si="1"/>
        <v>221.76525913580696</v>
      </c>
    </row>
    <row r="15" spans="1:15" x14ac:dyDescent="0.3">
      <c r="A15" s="296">
        <v>14</v>
      </c>
      <c r="B15" s="309">
        <v>223.56</v>
      </c>
      <c r="C15" s="294">
        <f t="shared" si="0"/>
        <v>1.0200000000000102</v>
      </c>
      <c r="D15" s="294">
        <f t="shared" si="2"/>
        <v>2.2399999999999807</v>
      </c>
      <c r="E15" s="294">
        <f t="shared" si="2"/>
        <v>2.0500000000000114</v>
      </c>
      <c r="F15" s="294">
        <f t="shared" si="2"/>
        <v>-1.0699999999999932</v>
      </c>
      <c r="G15" s="294">
        <f t="shared" si="2"/>
        <v>-0.37000000000000455</v>
      </c>
      <c r="H15" s="294">
        <f t="shared" si="2"/>
        <v>2.3599999999999852</v>
      </c>
      <c r="I15" s="294">
        <f t="shared" si="5"/>
        <v>0.93000000000000682</v>
      </c>
      <c r="J15" s="307">
        <f t="shared" si="3"/>
        <v>223.93935716983717</v>
      </c>
      <c r="K15" s="294">
        <f t="shared" si="4"/>
        <v>-0.23979078950916563</v>
      </c>
      <c r="L15" s="294">
        <f t="shared" si="1"/>
        <v>223.79979078950916</v>
      </c>
    </row>
    <row r="16" spans="1:15" x14ac:dyDescent="0.3">
      <c r="A16" s="295">
        <v>15</v>
      </c>
      <c r="B16" s="310">
        <v>223.07</v>
      </c>
      <c r="C16" s="294">
        <f t="shared" si="0"/>
        <v>-0.49000000000000909</v>
      </c>
      <c r="D16" s="294">
        <f t="shared" si="2"/>
        <v>1.0200000000000102</v>
      </c>
      <c r="E16" s="294">
        <f t="shared" si="2"/>
        <v>2.2399999999999807</v>
      </c>
      <c r="F16" s="294">
        <f t="shared" si="2"/>
        <v>2.0500000000000114</v>
      </c>
      <c r="G16" s="294">
        <f t="shared" si="2"/>
        <v>-1.0699999999999932</v>
      </c>
      <c r="H16" s="294">
        <f t="shared" si="2"/>
        <v>-0.37000000000000455</v>
      </c>
      <c r="I16" s="294">
        <f t="shared" si="5"/>
        <v>2.3599999999999852</v>
      </c>
      <c r="J16" s="307">
        <f t="shared" si="3"/>
        <v>224.61407009511029</v>
      </c>
      <c r="K16" s="294">
        <f t="shared" si="4"/>
        <v>-1.455220175596406</v>
      </c>
      <c r="L16" s="294">
        <f t="shared" si="1"/>
        <v>224.52522017559639</v>
      </c>
    </row>
    <row r="17" spans="1:12" x14ac:dyDescent="0.3">
      <c r="A17" s="296">
        <v>16</v>
      </c>
      <c r="B17" s="309">
        <v>225.36</v>
      </c>
      <c r="C17" s="294">
        <f t="shared" si="0"/>
        <v>2.2900000000000205</v>
      </c>
      <c r="D17" s="294">
        <f t="shared" si="2"/>
        <v>-0.49000000000000909</v>
      </c>
      <c r="E17" s="294">
        <f t="shared" si="2"/>
        <v>1.0200000000000102</v>
      </c>
      <c r="F17" s="294">
        <f t="shared" si="2"/>
        <v>2.2399999999999807</v>
      </c>
      <c r="G17" s="294">
        <f t="shared" si="2"/>
        <v>2.0500000000000114</v>
      </c>
      <c r="H17" s="294">
        <f t="shared" si="2"/>
        <v>-1.0699999999999932</v>
      </c>
      <c r="I17" s="294">
        <f t="shared" si="5"/>
        <v>-0.37000000000000455</v>
      </c>
      <c r="J17" s="307">
        <f t="shared" si="3"/>
        <v>223.69670658458764</v>
      </c>
      <c r="K17" s="294">
        <f t="shared" si="4"/>
        <v>1.6776813618971469</v>
      </c>
      <c r="L17" s="294">
        <f t="shared" si="1"/>
        <v>223.68231863810286</v>
      </c>
    </row>
    <row r="18" spans="1:12" x14ac:dyDescent="0.3">
      <c r="A18" s="295">
        <v>17</v>
      </c>
      <c r="B18" s="310">
        <v>227.6</v>
      </c>
      <c r="C18" s="294">
        <f t="shared" si="0"/>
        <v>2.2399999999999807</v>
      </c>
      <c r="D18" s="294">
        <f t="shared" si="2"/>
        <v>2.2900000000000205</v>
      </c>
      <c r="E18" s="294">
        <f t="shared" si="2"/>
        <v>-0.49000000000000909</v>
      </c>
      <c r="F18" s="294">
        <f t="shared" si="2"/>
        <v>1.0200000000000102</v>
      </c>
      <c r="G18" s="294">
        <f t="shared" si="2"/>
        <v>2.2399999999999807</v>
      </c>
      <c r="H18" s="294">
        <f t="shared" si="2"/>
        <v>2.0500000000000114</v>
      </c>
      <c r="I18" s="294">
        <f t="shared" si="5"/>
        <v>-1.0699999999999932</v>
      </c>
      <c r="J18" s="307">
        <f t="shared" si="3"/>
        <v>226.77350827945713</v>
      </c>
      <c r="K18" s="294">
        <f t="shared" si="4"/>
        <v>0.7180392370209685</v>
      </c>
      <c r="L18" s="294">
        <f t="shared" si="1"/>
        <v>226.88196076297902</v>
      </c>
    </row>
    <row r="19" spans="1:12" x14ac:dyDescent="0.3">
      <c r="A19" s="296">
        <v>18</v>
      </c>
      <c r="B19" s="309">
        <v>226.82</v>
      </c>
      <c r="C19" s="294">
        <f t="shared" si="0"/>
        <v>-0.78000000000000114</v>
      </c>
      <c r="D19" s="294">
        <f t="shared" si="2"/>
        <v>2.2399999999999807</v>
      </c>
      <c r="E19" s="294">
        <f t="shared" si="2"/>
        <v>2.2900000000000205</v>
      </c>
      <c r="F19" s="294">
        <f t="shared" si="2"/>
        <v>-0.49000000000000909</v>
      </c>
      <c r="G19" s="294">
        <f t="shared" si="2"/>
        <v>1.0200000000000102</v>
      </c>
      <c r="H19" s="294">
        <f t="shared" si="2"/>
        <v>2.2399999999999807</v>
      </c>
      <c r="I19" s="294">
        <f t="shared" si="5"/>
        <v>2.0500000000000114</v>
      </c>
      <c r="J19" s="307">
        <f t="shared" si="3"/>
        <v>228.99935716983717</v>
      </c>
      <c r="K19" s="294">
        <f t="shared" si="4"/>
        <v>-2.0233273967062262</v>
      </c>
      <c r="L19" s="294">
        <f t="shared" si="1"/>
        <v>228.8433273967062</v>
      </c>
    </row>
    <row r="20" spans="1:12" x14ac:dyDescent="0.3">
      <c r="A20" s="295">
        <v>19</v>
      </c>
      <c r="B20" s="310">
        <v>229.69</v>
      </c>
      <c r="C20" s="294">
        <f t="shared" si="0"/>
        <v>2.8700000000000045</v>
      </c>
      <c r="D20" s="294">
        <f t="shared" si="2"/>
        <v>-0.78000000000000114</v>
      </c>
      <c r="E20" s="294">
        <f t="shared" si="2"/>
        <v>2.2399999999999807</v>
      </c>
      <c r="F20" s="294">
        <f t="shared" si="2"/>
        <v>2.2900000000000205</v>
      </c>
      <c r="G20" s="294">
        <f t="shared" si="2"/>
        <v>-0.49000000000000909</v>
      </c>
      <c r="H20" s="294">
        <f t="shared" si="2"/>
        <v>1.0200000000000102</v>
      </c>
      <c r="I20" s="294">
        <f t="shared" si="5"/>
        <v>2.2399999999999807</v>
      </c>
      <c r="J20" s="307">
        <f t="shared" si="3"/>
        <v>227.36463014879192</v>
      </c>
      <c r="K20" s="294">
        <f t="shared" si="4"/>
        <v>2.4226320485316224</v>
      </c>
      <c r="L20" s="294">
        <f t="shared" si="1"/>
        <v>227.26736795146837</v>
      </c>
    </row>
    <row r="21" spans="1:12" x14ac:dyDescent="0.3">
      <c r="A21" s="296">
        <v>20</v>
      </c>
      <c r="B21" s="309">
        <v>229.3</v>
      </c>
      <c r="C21" s="294">
        <f t="shared" si="0"/>
        <v>-0.38999999999998636</v>
      </c>
      <c r="D21" s="294">
        <f t="shared" si="2"/>
        <v>2.8700000000000045</v>
      </c>
      <c r="E21" s="294">
        <f t="shared" si="2"/>
        <v>-0.78000000000000114</v>
      </c>
      <c r="F21" s="294">
        <f t="shared" si="2"/>
        <v>2.2399999999999807</v>
      </c>
      <c r="G21" s="294">
        <f t="shared" si="2"/>
        <v>2.2900000000000205</v>
      </c>
      <c r="H21" s="294">
        <f t="shared" si="2"/>
        <v>-0.49000000000000909</v>
      </c>
      <c r="I21" s="294">
        <f t="shared" si="5"/>
        <v>1.0200000000000102</v>
      </c>
      <c r="J21" s="307">
        <f t="shared" si="3"/>
        <v>231.2676611510486</v>
      </c>
      <c r="K21" s="294">
        <f t="shared" si="4"/>
        <v>-2.1282581848444369</v>
      </c>
      <c r="L21" s="294">
        <f t="shared" si="1"/>
        <v>231.42825818484445</v>
      </c>
    </row>
    <row r="22" spans="1:12" x14ac:dyDescent="0.3">
      <c r="A22" s="295">
        <v>21</v>
      </c>
      <c r="B22" s="310">
        <v>228.96</v>
      </c>
      <c r="C22" s="294">
        <f t="shared" si="0"/>
        <v>-0.34000000000000341</v>
      </c>
      <c r="D22" s="294">
        <f t="shared" si="2"/>
        <v>-0.38999999999998636</v>
      </c>
      <c r="E22" s="294">
        <f t="shared" si="2"/>
        <v>2.8700000000000045</v>
      </c>
      <c r="F22" s="294">
        <f t="shared" si="2"/>
        <v>-0.78000000000000114</v>
      </c>
      <c r="G22" s="294">
        <f t="shared" si="2"/>
        <v>2.2399999999999807</v>
      </c>
      <c r="H22" s="294">
        <f t="shared" ref="H22:H66" si="6">G21</f>
        <v>2.2900000000000205</v>
      </c>
      <c r="I22" s="294">
        <f t="shared" si="5"/>
        <v>-0.49000000000000909</v>
      </c>
      <c r="J22" s="307">
        <f t="shared" si="3"/>
        <v>229.95500880382758</v>
      </c>
      <c r="K22" s="294">
        <f t="shared" si="4"/>
        <v>-0.75690115768483979</v>
      </c>
      <c r="L22" s="294">
        <f t="shared" si="1"/>
        <v>229.71690115768484</v>
      </c>
    </row>
    <row r="23" spans="1:12" x14ac:dyDescent="0.3">
      <c r="A23" s="296">
        <v>22</v>
      </c>
      <c r="B23" s="309">
        <v>229.99</v>
      </c>
      <c r="C23" s="294">
        <f t="shared" si="0"/>
        <v>1.0300000000000011</v>
      </c>
      <c r="D23" s="294">
        <f t="shared" si="2"/>
        <v>-0.34000000000000341</v>
      </c>
      <c r="E23" s="294">
        <f t="shared" si="2"/>
        <v>-0.38999999999998636</v>
      </c>
      <c r="F23" s="294">
        <f t="shared" si="2"/>
        <v>2.8700000000000045</v>
      </c>
      <c r="G23" s="294">
        <f t="shared" si="2"/>
        <v>-0.78000000000000114</v>
      </c>
      <c r="H23" s="294">
        <f t="shared" si="6"/>
        <v>2.2399999999999807</v>
      </c>
      <c r="I23" s="294">
        <f t="shared" si="5"/>
        <v>2.2900000000000205</v>
      </c>
      <c r="J23" s="307">
        <f t="shared" si="3"/>
        <v>229.62915991344752</v>
      </c>
      <c r="K23" s="294">
        <f t="shared" si="4"/>
        <v>0.21492350701647361</v>
      </c>
      <c r="L23" s="294">
        <f t="shared" si="1"/>
        <v>229.77507649298352</v>
      </c>
    </row>
    <row r="24" spans="1:12" x14ac:dyDescent="0.3">
      <c r="A24" s="295">
        <v>23</v>
      </c>
      <c r="B24" s="310">
        <v>233.05</v>
      </c>
      <c r="C24" s="294">
        <f t="shared" si="0"/>
        <v>3.0600000000000023</v>
      </c>
      <c r="D24" s="294">
        <f t="shared" si="2"/>
        <v>1.0300000000000011</v>
      </c>
      <c r="E24" s="294">
        <f t="shared" si="2"/>
        <v>-0.34000000000000341</v>
      </c>
      <c r="F24" s="294">
        <f t="shared" si="2"/>
        <v>-0.38999999999998636</v>
      </c>
      <c r="G24" s="294">
        <f t="shared" si="2"/>
        <v>2.8700000000000045</v>
      </c>
      <c r="H24" s="294">
        <f t="shared" si="6"/>
        <v>-0.78000000000000114</v>
      </c>
      <c r="I24" s="294">
        <f t="shared" si="5"/>
        <v>2.2399999999999807</v>
      </c>
      <c r="J24" s="307">
        <f t="shared" si="3"/>
        <v>231.04690031703427</v>
      </c>
      <c r="K24" s="294">
        <f t="shared" si="4"/>
        <v>1.9627529241154911</v>
      </c>
      <c r="L24" s="294">
        <f t="shared" si="1"/>
        <v>231.08724707588451</v>
      </c>
    </row>
    <row r="25" spans="1:12" x14ac:dyDescent="0.3">
      <c r="A25" s="296">
        <v>24</v>
      </c>
      <c r="B25" s="309">
        <v>235</v>
      </c>
      <c r="C25" s="294">
        <f t="shared" si="0"/>
        <v>1.9499999999999886</v>
      </c>
      <c r="D25" s="294">
        <f t="shared" si="2"/>
        <v>3.0600000000000023</v>
      </c>
      <c r="E25" s="294">
        <f t="shared" si="2"/>
        <v>1.0300000000000011</v>
      </c>
      <c r="F25" s="294">
        <f t="shared" si="2"/>
        <v>-0.34000000000000341</v>
      </c>
      <c r="G25" s="294">
        <f t="shared" si="2"/>
        <v>-0.38999999999998636</v>
      </c>
      <c r="H25" s="294">
        <f t="shared" si="6"/>
        <v>2.8700000000000045</v>
      </c>
      <c r="I25" s="294">
        <f t="shared" si="5"/>
        <v>-0.78000000000000114</v>
      </c>
      <c r="J25" s="307">
        <f t="shared" si="3"/>
        <v>234.68143536760442</v>
      </c>
      <c r="K25" s="294">
        <f t="shared" si="4"/>
        <v>0.34526833008544733</v>
      </c>
      <c r="L25" s="294">
        <f t="shared" si="1"/>
        <v>234.65473166991455</v>
      </c>
    </row>
    <row r="26" spans="1:12" x14ac:dyDescent="0.3">
      <c r="A26" s="295">
        <v>25</v>
      </c>
      <c r="B26" s="310">
        <v>236.17</v>
      </c>
      <c r="C26" s="294">
        <f t="shared" si="0"/>
        <v>1.1699999999999875</v>
      </c>
      <c r="D26" s="294">
        <f t="shared" si="2"/>
        <v>1.9499999999999886</v>
      </c>
      <c r="E26" s="294">
        <f t="shared" si="2"/>
        <v>3.0600000000000023</v>
      </c>
      <c r="F26" s="294">
        <f t="shared" si="2"/>
        <v>1.0300000000000011</v>
      </c>
      <c r="G26" s="294">
        <f t="shared" si="2"/>
        <v>-0.34000000000000341</v>
      </c>
      <c r="H26" s="294">
        <f t="shared" si="6"/>
        <v>-0.38999999999998636</v>
      </c>
      <c r="I26" s="294">
        <f t="shared" si="5"/>
        <v>2.8700000000000045</v>
      </c>
      <c r="J26" s="307">
        <f t="shared" si="3"/>
        <v>236.31728073404145</v>
      </c>
      <c r="K26" s="294">
        <f t="shared" si="4"/>
        <v>3.4907131515839102E-2</v>
      </c>
      <c r="L26" s="294">
        <f t="shared" si="1"/>
        <v>236.13509286848415</v>
      </c>
    </row>
    <row r="27" spans="1:12" x14ac:dyDescent="0.3">
      <c r="A27" s="296">
        <v>26</v>
      </c>
      <c r="B27" s="309">
        <v>238.31</v>
      </c>
      <c r="C27" s="294">
        <f t="shared" si="0"/>
        <v>2.1400000000000148</v>
      </c>
      <c r="D27" s="294">
        <f t="shared" si="2"/>
        <v>1.1699999999999875</v>
      </c>
      <c r="E27" s="294">
        <f t="shared" si="2"/>
        <v>1.9499999999999886</v>
      </c>
      <c r="F27" s="294">
        <f t="shared" si="2"/>
        <v>3.0600000000000023</v>
      </c>
      <c r="G27" s="294">
        <f t="shared" si="2"/>
        <v>1.0300000000000011</v>
      </c>
      <c r="H27" s="294">
        <f t="shared" si="6"/>
        <v>-0.34000000000000341</v>
      </c>
      <c r="I27" s="294">
        <f t="shared" si="5"/>
        <v>-0.38999999999998636</v>
      </c>
      <c r="J27" s="307">
        <f t="shared" si="3"/>
        <v>237.26652342397014</v>
      </c>
      <c r="K27" s="294">
        <f t="shared" si="4"/>
        <v>1.09502091797461</v>
      </c>
      <c r="L27" s="294">
        <f t="shared" si="1"/>
        <v>237.21497908202539</v>
      </c>
    </row>
    <row r="28" spans="1:12" x14ac:dyDescent="0.3">
      <c r="A28" s="295">
        <v>27</v>
      </c>
      <c r="B28" s="310">
        <v>241.14</v>
      </c>
      <c r="C28" s="294">
        <f t="shared" si="0"/>
        <v>2.8299999999999841</v>
      </c>
      <c r="D28" s="294">
        <f t="shared" si="2"/>
        <v>2.1400000000000148</v>
      </c>
      <c r="E28" s="294">
        <f t="shared" si="2"/>
        <v>1.1699999999999875</v>
      </c>
      <c r="F28" s="294">
        <f t="shared" si="2"/>
        <v>1.9499999999999886</v>
      </c>
      <c r="G28" s="294">
        <f t="shared" si="2"/>
        <v>3.0600000000000023</v>
      </c>
      <c r="H28" s="294">
        <f t="shared" si="6"/>
        <v>1.0300000000000011</v>
      </c>
      <c r="I28" s="294">
        <f t="shared" si="5"/>
        <v>-0.34000000000000341</v>
      </c>
      <c r="J28" s="307">
        <f t="shared" si="3"/>
        <v>239.68105495059726</v>
      </c>
      <c r="K28" s="294">
        <f t="shared" si="4"/>
        <v>1.4772154712396195</v>
      </c>
      <c r="L28" s="294">
        <f t="shared" si="1"/>
        <v>239.66278452876037</v>
      </c>
    </row>
    <row r="29" spans="1:12" x14ac:dyDescent="0.3">
      <c r="A29" s="296">
        <v>28</v>
      </c>
      <c r="B29" s="309">
        <v>241.48</v>
      </c>
      <c r="C29" s="294">
        <f t="shared" si="0"/>
        <v>0.34000000000000341</v>
      </c>
      <c r="D29" s="294">
        <f t="shared" si="2"/>
        <v>2.8299999999999841</v>
      </c>
      <c r="E29" s="294">
        <f t="shared" si="2"/>
        <v>2.1400000000000148</v>
      </c>
      <c r="F29" s="294">
        <f t="shared" si="2"/>
        <v>1.1699999999999875</v>
      </c>
      <c r="G29" s="294">
        <f t="shared" si="2"/>
        <v>1.9499999999999886</v>
      </c>
      <c r="H29" s="294">
        <f t="shared" si="6"/>
        <v>3.0600000000000023</v>
      </c>
      <c r="I29" s="294">
        <f t="shared" si="5"/>
        <v>1.0300000000000011</v>
      </c>
      <c r="J29" s="307">
        <f t="shared" si="3"/>
        <v>242.70634026335262</v>
      </c>
      <c r="K29" s="294">
        <f t="shared" si="4"/>
        <v>-1.1237552252177454</v>
      </c>
      <c r="L29" s="294">
        <f t="shared" si="1"/>
        <v>242.60375522521772</v>
      </c>
    </row>
    <row r="30" spans="1:12" x14ac:dyDescent="0.3">
      <c r="A30" s="295">
        <v>29</v>
      </c>
      <c r="B30" s="310">
        <v>246.74</v>
      </c>
      <c r="C30" s="294">
        <f t="shared" si="0"/>
        <v>5.2600000000000193</v>
      </c>
      <c r="D30" s="294">
        <f t="shared" si="2"/>
        <v>0.34000000000000341</v>
      </c>
      <c r="E30" s="294">
        <f t="shared" si="2"/>
        <v>2.8299999999999841</v>
      </c>
      <c r="F30" s="294">
        <f t="shared" si="2"/>
        <v>2.1400000000000148</v>
      </c>
      <c r="G30" s="294">
        <f t="shared" si="2"/>
        <v>1.1699999999999875</v>
      </c>
      <c r="H30" s="294">
        <f t="shared" si="6"/>
        <v>1.9499999999999886</v>
      </c>
      <c r="I30" s="294">
        <f t="shared" si="5"/>
        <v>3.0600000000000023</v>
      </c>
      <c r="J30" s="307">
        <f t="shared" si="3"/>
        <v>242.34161500427891</v>
      </c>
      <c r="K30" s="294">
        <f t="shared" si="4"/>
        <v>4.5514400730548434</v>
      </c>
      <c r="L30" s="294">
        <f t="shared" si="1"/>
        <v>242.18855992694515</v>
      </c>
    </row>
    <row r="31" spans="1:12" x14ac:dyDescent="0.3">
      <c r="A31" s="296">
        <v>30</v>
      </c>
      <c r="B31" s="309">
        <v>248.73</v>
      </c>
      <c r="C31" s="294">
        <f t="shared" si="0"/>
        <v>1.9899999999999807</v>
      </c>
      <c r="D31" s="294">
        <f t="shared" si="2"/>
        <v>5.2600000000000193</v>
      </c>
      <c r="E31" s="294">
        <f t="shared" si="2"/>
        <v>0.34000000000000341</v>
      </c>
      <c r="F31" s="294">
        <f t="shared" si="2"/>
        <v>2.8299999999999841</v>
      </c>
      <c r="G31" s="294">
        <f t="shared" si="2"/>
        <v>2.1400000000000148</v>
      </c>
      <c r="H31" s="294">
        <f t="shared" si="6"/>
        <v>1.1699999999999875</v>
      </c>
      <c r="I31" s="294">
        <f t="shared" si="5"/>
        <v>1.9499999999999886</v>
      </c>
      <c r="J31" s="307">
        <f t="shared" si="3"/>
        <v>248.99408419088243</v>
      </c>
      <c r="K31" s="294">
        <f t="shared" si="4"/>
        <v>-0.3663604238410767</v>
      </c>
      <c r="L31" s="294">
        <f t="shared" si="1"/>
        <v>249.09636042384105</v>
      </c>
    </row>
    <row r="32" spans="1:12" x14ac:dyDescent="0.3">
      <c r="A32" s="295">
        <v>31</v>
      </c>
      <c r="B32" s="310">
        <v>248.83</v>
      </c>
      <c r="C32" s="294">
        <f t="shared" si="0"/>
        <v>0.10000000000002274</v>
      </c>
      <c r="D32" s="294">
        <f t="shared" si="2"/>
        <v>1.9899999999999807</v>
      </c>
      <c r="E32" s="294">
        <f t="shared" si="2"/>
        <v>5.2600000000000193</v>
      </c>
      <c r="F32" s="294">
        <f t="shared" si="2"/>
        <v>0.34000000000000341</v>
      </c>
      <c r="G32" s="294">
        <f t="shared" si="2"/>
        <v>2.8299999999999841</v>
      </c>
      <c r="H32" s="294">
        <f t="shared" si="6"/>
        <v>2.1400000000000148</v>
      </c>
      <c r="I32" s="294">
        <f t="shared" si="5"/>
        <v>1.1699999999999875</v>
      </c>
      <c r="J32" s="307">
        <f t="shared" si="3"/>
        <v>250.05860162173738</v>
      </c>
      <c r="K32" s="294">
        <f t="shared" si="4"/>
        <v>-0.82847051406357464</v>
      </c>
      <c r="L32" s="294">
        <f t="shared" si="1"/>
        <v>249.65847051406357</v>
      </c>
    </row>
    <row r="33" spans="1:12" x14ac:dyDescent="0.3">
      <c r="A33" s="296">
        <v>32</v>
      </c>
      <c r="B33" s="309">
        <v>248.78</v>
      </c>
      <c r="C33" s="294">
        <f t="shared" si="0"/>
        <v>-5.0000000000011369E-2</v>
      </c>
      <c r="D33" s="294">
        <f t="shared" si="2"/>
        <v>0.10000000000002274</v>
      </c>
      <c r="E33" s="294">
        <f t="shared" si="2"/>
        <v>1.9899999999999807</v>
      </c>
      <c r="F33" s="294">
        <f t="shared" si="2"/>
        <v>5.2600000000000193</v>
      </c>
      <c r="G33" s="294">
        <f t="shared" si="2"/>
        <v>0.34000000000000341</v>
      </c>
      <c r="H33" s="294">
        <f t="shared" si="6"/>
        <v>2.8299999999999841</v>
      </c>
      <c r="I33" s="294">
        <f t="shared" si="5"/>
        <v>2.1400000000000148</v>
      </c>
      <c r="J33" s="307">
        <f t="shared" si="3"/>
        <v>249.62368967810315</v>
      </c>
      <c r="K33" s="294">
        <f t="shared" si="4"/>
        <v>-0.8442962352469825</v>
      </c>
      <c r="L33" s="294">
        <f t="shared" si="1"/>
        <v>249.62429623524699</v>
      </c>
    </row>
    <row r="34" spans="1:12" x14ac:dyDescent="0.3">
      <c r="A34" s="295">
        <v>33</v>
      </c>
      <c r="B34" s="310">
        <v>249.61</v>
      </c>
      <c r="C34" s="294">
        <f t="shared" si="0"/>
        <v>0.83000000000001251</v>
      </c>
      <c r="D34" s="294">
        <f t="shared" si="2"/>
        <v>-5.0000000000011369E-2</v>
      </c>
      <c r="E34" s="294">
        <f t="shared" si="2"/>
        <v>0.10000000000002274</v>
      </c>
      <c r="F34" s="294">
        <f t="shared" si="2"/>
        <v>1.9899999999999807</v>
      </c>
      <c r="G34" s="294">
        <f t="shared" si="2"/>
        <v>5.2600000000000193</v>
      </c>
      <c r="H34" s="294">
        <f t="shared" si="6"/>
        <v>0.34000000000000341</v>
      </c>
      <c r="I34" s="294">
        <f t="shared" si="5"/>
        <v>2.8299999999999841</v>
      </c>
      <c r="J34" s="307">
        <f t="shared" si="3"/>
        <v>249.53123634924327</v>
      </c>
      <c r="K34" s="294">
        <f t="shared" si="4"/>
        <v>4.0298783930212773E-2</v>
      </c>
      <c r="L34" s="294">
        <f t="shared" si="1"/>
        <v>249.5697012160698</v>
      </c>
    </row>
    <row r="35" spans="1:12" x14ac:dyDescent="0.3">
      <c r="A35" s="296">
        <v>34</v>
      </c>
      <c r="B35" s="309">
        <v>249.9</v>
      </c>
      <c r="C35" s="294">
        <f t="shared" si="0"/>
        <v>0.28999999999999204</v>
      </c>
      <c r="D35" s="294">
        <f t="shared" si="2"/>
        <v>0.83000000000001251</v>
      </c>
      <c r="E35" s="294">
        <f t="shared" si="2"/>
        <v>-5.0000000000011369E-2</v>
      </c>
      <c r="F35" s="294">
        <f t="shared" si="2"/>
        <v>0.10000000000002274</v>
      </c>
      <c r="G35" s="294">
        <f t="shared" si="2"/>
        <v>1.9899999999999807</v>
      </c>
      <c r="H35" s="294">
        <f t="shared" si="6"/>
        <v>5.2600000000000193</v>
      </c>
      <c r="I35" s="294">
        <f t="shared" si="5"/>
        <v>0.34000000000000341</v>
      </c>
      <c r="J35" s="307">
        <f t="shared" si="3"/>
        <v>250.61029587855447</v>
      </c>
      <c r="K35" s="294">
        <f t="shared" si="4"/>
        <v>-0.75654455546915467</v>
      </c>
      <c r="L35" s="294">
        <f t="shared" si="1"/>
        <v>250.65654455546917</v>
      </c>
    </row>
    <row r="36" spans="1:12" x14ac:dyDescent="0.3">
      <c r="A36" s="295">
        <v>35</v>
      </c>
      <c r="B36" s="310">
        <v>246.45</v>
      </c>
      <c r="C36" s="294">
        <f t="shared" si="0"/>
        <v>-3.4500000000000171</v>
      </c>
      <c r="D36" s="294">
        <f t="shared" si="2"/>
        <v>0.28999999999999204</v>
      </c>
      <c r="E36" s="294">
        <f t="shared" si="2"/>
        <v>0.83000000000001251</v>
      </c>
      <c r="F36" s="294">
        <f t="shared" si="2"/>
        <v>-5.0000000000011369E-2</v>
      </c>
      <c r="G36" s="294">
        <f t="shared" si="2"/>
        <v>0.10000000000002274</v>
      </c>
      <c r="H36" s="294">
        <f t="shared" si="6"/>
        <v>1.9899999999999807</v>
      </c>
      <c r="I36" s="294">
        <f t="shared" si="5"/>
        <v>5.2600000000000193</v>
      </c>
      <c r="J36" s="307">
        <f t="shared" si="3"/>
        <v>250.74746389465895</v>
      </c>
      <c r="K36" s="294">
        <f t="shared" si="4"/>
        <v>-4.2651800329107754</v>
      </c>
      <c r="L36" s="294">
        <f t="shared" si="1"/>
        <v>250.71518003291075</v>
      </c>
    </row>
    <row r="37" spans="1:12" x14ac:dyDescent="0.3">
      <c r="A37" s="296">
        <v>36</v>
      </c>
      <c r="B37" s="309">
        <v>247.57</v>
      </c>
      <c r="C37" s="294">
        <f t="shared" si="0"/>
        <v>1.1200000000000045</v>
      </c>
      <c r="D37" s="294">
        <f t="shared" si="2"/>
        <v>-3.4500000000000171</v>
      </c>
      <c r="E37" s="294">
        <f t="shared" si="2"/>
        <v>0.28999999999999204</v>
      </c>
      <c r="F37" s="294">
        <f t="shared" si="2"/>
        <v>0.83000000000001251</v>
      </c>
      <c r="G37" s="294">
        <f t="shared" si="2"/>
        <v>-5.0000000000011369E-2</v>
      </c>
      <c r="H37" s="294">
        <f t="shared" si="6"/>
        <v>0.10000000000002274</v>
      </c>
      <c r="I37" s="294">
        <f t="shared" si="5"/>
        <v>1.9899999999999807</v>
      </c>
      <c r="J37" s="307">
        <f t="shared" si="3"/>
        <v>246.23896089508634</v>
      </c>
      <c r="K37" s="294">
        <f t="shared" si="4"/>
        <v>1.3235569407603733</v>
      </c>
      <c r="L37" s="294">
        <f t="shared" si="1"/>
        <v>246.24644305923962</v>
      </c>
    </row>
    <row r="38" spans="1:12" x14ac:dyDescent="0.3">
      <c r="A38" s="295">
        <v>37</v>
      </c>
      <c r="B38" s="310">
        <v>247.76</v>
      </c>
      <c r="C38" s="294">
        <f t="shared" si="0"/>
        <v>0.18999999999999773</v>
      </c>
      <c r="D38" s="294">
        <f t="shared" si="2"/>
        <v>1.1200000000000045</v>
      </c>
      <c r="E38" s="294">
        <f t="shared" si="2"/>
        <v>-3.4500000000000171</v>
      </c>
      <c r="F38" s="294">
        <f t="shared" si="2"/>
        <v>0.28999999999999204</v>
      </c>
      <c r="G38" s="294">
        <f t="shared" si="2"/>
        <v>0.83000000000001251</v>
      </c>
      <c r="H38" s="294">
        <f t="shared" si="6"/>
        <v>-5.0000000000011369E-2</v>
      </c>
      <c r="I38" s="294">
        <f t="shared" si="5"/>
        <v>0.10000000000002274</v>
      </c>
      <c r="J38" s="307">
        <f t="shared" si="3"/>
        <v>248.6523723143502</v>
      </c>
      <c r="K38" s="294">
        <f t="shared" si="4"/>
        <v>-1.2291402666888243</v>
      </c>
      <c r="L38" s="294">
        <f t="shared" si="1"/>
        <v>248.98914026668882</v>
      </c>
    </row>
    <row r="39" spans="1:12" x14ac:dyDescent="0.3">
      <c r="A39" s="296">
        <v>38</v>
      </c>
      <c r="B39" s="309">
        <v>247.81</v>
      </c>
      <c r="C39" s="294">
        <f t="shared" si="0"/>
        <v>5.0000000000011369E-2</v>
      </c>
      <c r="D39" s="294">
        <f t="shared" si="2"/>
        <v>0.18999999999999773</v>
      </c>
      <c r="E39" s="294">
        <f t="shared" si="2"/>
        <v>1.1200000000000045</v>
      </c>
      <c r="F39" s="294">
        <f t="shared" si="2"/>
        <v>-3.4500000000000171</v>
      </c>
      <c r="G39" s="294">
        <f t="shared" si="2"/>
        <v>0.28999999999999204</v>
      </c>
      <c r="H39" s="294">
        <f t="shared" si="6"/>
        <v>0.83000000000001251</v>
      </c>
      <c r="I39" s="294">
        <f t="shared" si="5"/>
        <v>-5.0000000000011369E-2</v>
      </c>
      <c r="J39" s="307">
        <f t="shared" si="3"/>
        <v>248.57916167541904</v>
      </c>
      <c r="K39" s="294">
        <f t="shared" si="4"/>
        <v>-0.62796124010274057</v>
      </c>
      <c r="L39" s="294">
        <f t="shared" si="1"/>
        <v>248.43796124010274</v>
      </c>
    </row>
    <row r="40" spans="1:12" x14ac:dyDescent="0.3">
      <c r="A40" s="295">
        <v>39</v>
      </c>
      <c r="B40" s="310">
        <v>250.68</v>
      </c>
      <c r="C40" s="294">
        <f t="shared" si="0"/>
        <v>2.8700000000000045</v>
      </c>
      <c r="D40" s="294">
        <f t="shared" si="2"/>
        <v>5.0000000000011369E-2</v>
      </c>
      <c r="E40" s="294">
        <f t="shared" si="2"/>
        <v>0.18999999999999773</v>
      </c>
      <c r="F40" s="294">
        <f t="shared" si="2"/>
        <v>1.1200000000000045</v>
      </c>
      <c r="G40" s="294">
        <f t="shared" si="2"/>
        <v>-3.4500000000000171</v>
      </c>
      <c r="H40" s="294">
        <f t="shared" si="6"/>
        <v>0.28999999999999204</v>
      </c>
      <c r="I40" s="294">
        <f t="shared" si="5"/>
        <v>0.83000000000001251</v>
      </c>
      <c r="J40" s="307">
        <f t="shared" si="3"/>
        <v>248.58953856848316</v>
      </c>
      <c r="K40" s="294">
        <f t="shared" si="4"/>
        <v>2.017485630592001</v>
      </c>
      <c r="L40" s="294">
        <f t="shared" si="1"/>
        <v>248.662514369408</v>
      </c>
    </row>
    <row r="41" spans="1:12" x14ac:dyDescent="0.3">
      <c r="A41" s="296">
        <v>40</v>
      </c>
      <c r="B41" s="309">
        <v>251.8</v>
      </c>
      <c r="C41" s="294">
        <f t="shared" si="0"/>
        <v>1.1200000000000045</v>
      </c>
      <c r="D41" s="294">
        <f t="shared" si="2"/>
        <v>2.8700000000000045</v>
      </c>
      <c r="E41" s="294">
        <f t="shared" si="2"/>
        <v>5.0000000000011369E-2</v>
      </c>
      <c r="F41" s="294">
        <f t="shared" si="2"/>
        <v>0.18999999999999773</v>
      </c>
      <c r="G41" s="294">
        <f t="shared" si="2"/>
        <v>1.1200000000000045</v>
      </c>
      <c r="H41" s="294">
        <f t="shared" si="6"/>
        <v>-3.4500000000000171</v>
      </c>
      <c r="I41" s="294">
        <f t="shared" si="5"/>
        <v>0.28999999999999204</v>
      </c>
      <c r="J41" s="307">
        <f t="shared" si="3"/>
        <v>252.25766115104861</v>
      </c>
      <c r="K41" s="294">
        <f t="shared" si="4"/>
        <v>-0.50062338397694117</v>
      </c>
      <c r="L41" s="294">
        <f t="shared" si="1"/>
        <v>252.30062338397695</v>
      </c>
    </row>
    <row r="42" spans="1:12" x14ac:dyDescent="0.3">
      <c r="A42" s="295">
        <v>41</v>
      </c>
      <c r="B42" s="310">
        <v>251.07</v>
      </c>
      <c r="C42" s="294">
        <f t="shared" si="0"/>
        <v>-0.73000000000001819</v>
      </c>
      <c r="D42" s="294">
        <f t="shared" si="2"/>
        <v>1.1200000000000045</v>
      </c>
      <c r="E42" s="294">
        <f t="shared" si="2"/>
        <v>2.8700000000000045</v>
      </c>
      <c r="F42" s="294">
        <f t="shared" si="2"/>
        <v>5.0000000000011369E-2</v>
      </c>
      <c r="G42" s="294">
        <f t="shared" si="2"/>
        <v>0.18999999999999773</v>
      </c>
      <c r="H42" s="294">
        <f t="shared" si="6"/>
        <v>1.1200000000000045</v>
      </c>
      <c r="I42" s="294">
        <f t="shared" si="5"/>
        <v>-3.4500000000000171</v>
      </c>
      <c r="J42" s="307">
        <f t="shared" si="3"/>
        <v>252.88237231435022</v>
      </c>
      <c r="K42" s="294">
        <f t="shared" si="4"/>
        <v>-1.6194870851596042</v>
      </c>
      <c r="L42" s="294">
        <f t="shared" si="1"/>
        <v>252.68948708515958</v>
      </c>
    </row>
    <row r="43" spans="1:12" x14ac:dyDescent="0.3">
      <c r="A43" s="296">
        <v>42</v>
      </c>
      <c r="B43" s="309">
        <v>248.05</v>
      </c>
      <c r="C43" s="294">
        <f t="shared" si="0"/>
        <v>-3.0199999999999818</v>
      </c>
      <c r="D43" s="294">
        <f t="shared" si="2"/>
        <v>-0.73000000000001819</v>
      </c>
      <c r="E43" s="294">
        <f t="shared" si="2"/>
        <v>1.1200000000000045</v>
      </c>
      <c r="F43" s="294">
        <f t="shared" si="2"/>
        <v>2.8700000000000045</v>
      </c>
      <c r="G43" s="294">
        <f t="shared" si="2"/>
        <v>5.0000000000011369E-2</v>
      </c>
      <c r="H43" s="294">
        <f t="shared" si="6"/>
        <v>0.18999999999999773</v>
      </c>
      <c r="I43" s="294">
        <f t="shared" si="5"/>
        <v>1.1200000000000045</v>
      </c>
      <c r="J43" s="307">
        <f t="shared" si="3"/>
        <v>251.62878125841186</v>
      </c>
      <c r="K43" s="294">
        <f t="shared" si="4"/>
        <v>-3.5846235226089136</v>
      </c>
      <c r="L43" s="294">
        <f t="shared" si="1"/>
        <v>251.6346235226089</v>
      </c>
    </row>
    <row r="44" spans="1:12" x14ac:dyDescent="0.3">
      <c r="A44" s="295">
        <v>43</v>
      </c>
      <c r="B44" s="310">
        <v>249.76</v>
      </c>
      <c r="C44" s="294">
        <f t="shared" si="0"/>
        <v>1.7099999999999795</v>
      </c>
      <c r="D44" s="294">
        <f t="shared" si="2"/>
        <v>-3.0199999999999818</v>
      </c>
      <c r="E44" s="294">
        <f t="shared" si="2"/>
        <v>-0.73000000000001819</v>
      </c>
      <c r="F44" s="294">
        <f t="shared" si="2"/>
        <v>1.1200000000000045</v>
      </c>
      <c r="G44" s="294">
        <f t="shared" si="2"/>
        <v>2.8700000000000045</v>
      </c>
      <c r="H44" s="294">
        <f t="shared" si="6"/>
        <v>5.0000000000011369E-2</v>
      </c>
      <c r="I44" s="294">
        <f t="shared" si="5"/>
        <v>0.18999999999999773</v>
      </c>
      <c r="J44" s="307">
        <f t="shared" si="3"/>
        <v>247.96066043781798</v>
      </c>
      <c r="K44" s="294">
        <f t="shared" si="4"/>
        <v>1.7159564535696303</v>
      </c>
      <c r="L44" s="294">
        <f t="shared" si="1"/>
        <v>248.04404354643034</v>
      </c>
    </row>
    <row r="45" spans="1:12" x14ac:dyDescent="0.3">
      <c r="A45" s="296">
        <v>44</v>
      </c>
      <c r="B45" s="309">
        <v>251.66</v>
      </c>
      <c r="C45" s="294">
        <f t="shared" si="0"/>
        <v>1.9000000000000057</v>
      </c>
      <c r="D45" s="294">
        <f t="shared" si="2"/>
        <v>1.7099999999999795</v>
      </c>
      <c r="E45" s="294">
        <f t="shared" si="2"/>
        <v>-3.0199999999999818</v>
      </c>
      <c r="F45" s="294">
        <f t="shared" si="2"/>
        <v>-0.73000000000001819</v>
      </c>
      <c r="G45" s="294">
        <f t="shared" si="2"/>
        <v>1.1200000000000045</v>
      </c>
      <c r="H45" s="294">
        <f t="shared" si="6"/>
        <v>2.8700000000000045</v>
      </c>
      <c r="I45" s="294">
        <f t="shared" si="5"/>
        <v>5.0000000000011369E-2</v>
      </c>
      <c r="J45" s="307">
        <f t="shared" si="3"/>
        <v>251.00935540786563</v>
      </c>
      <c r="K45" s="294">
        <f t="shared" si="4"/>
        <v>0.36692601328826119</v>
      </c>
      <c r="L45" s="294">
        <f t="shared" si="1"/>
        <v>251.29307398671173</v>
      </c>
    </row>
    <row r="46" spans="1:12" x14ac:dyDescent="0.3">
      <c r="A46" s="295">
        <v>45</v>
      </c>
      <c r="B46" s="310">
        <v>253.41</v>
      </c>
      <c r="C46" s="294">
        <f t="shared" si="0"/>
        <v>1.75</v>
      </c>
      <c r="D46" s="294">
        <f t="shared" si="2"/>
        <v>1.9000000000000057</v>
      </c>
      <c r="E46" s="294">
        <f t="shared" si="2"/>
        <v>1.7099999999999795</v>
      </c>
      <c r="F46" s="294">
        <f t="shared" si="2"/>
        <v>-3.0199999999999818</v>
      </c>
      <c r="G46" s="294">
        <f t="shared" si="2"/>
        <v>-0.73000000000001819</v>
      </c>
      <c r="H46" s="294">
        <f t="shared" si="6"/>
        <v>1.1200000000000045</v>
      </c>
      <c r="I46" s="294">
        <f t="shared" si="5"/>
        <v>2.8700000000000045</v>
      </c>
      <c r="J46" s="307">
        <f t="shared" si="3"/>
        <v>252.96312962442147</v>
      </c>
      <c r="K46" s="294">
        <f t="shared" si="4"/>
        <v>0.60861879441596844</v>
      </c>
      <c r="L46" s="294">
        <f t="shared" si="1"/>
        <v>252.80138120558402</v>
      </c>
    </row>
    <row r="47" spans="1:12" x14ac:dyDescent="0.3">
      <c r="A47" s="296">
        <v>46</v>
      </c>
      <c r="B47" s="309">
        <v>252.04</v>
      </c>
      <c r="C47" s="294">
        <f t="shared" si="0"/>
        <v>-1.3700000000000045</v>
      </c>
      <c r="D47" s="294">
        <f t="shared" si="2"/>
        <v>1.75</v>
      </c>
      <c r="E47" s="294">
        <f t="shared" si="2"/>
        <v>1.9000000000000057</v>
      </c>
      <c r="F47" s="294">
        <f t="shared" si="2"/>
        <v>1.7099999999999795</v>
      </c>
      <c r="G47" s="294">
        <f t="shared" si="2"/>
        <v>-3.0199999999999818</v>
      </c>
      <c r="H47" s="294">
        <f t="shared" si="6"/>
        <v>-0.73000000000001819</v>
      </c>
      <c r="I47" s="294">
        <f t="shared" si="5"/>
        <v>1.1200000000000045</v>
      </c>
      <c r="J47" s="307">
        <f t="shared" si="3"/>
        <v>254.67067629556161</v>
      </c>
      <c r="K47" s="294">
        <f t="shared" si="4"/>
        <v>-2.5815570257817315</v>
      </c>
      <c r="L47" s="294">
        <f t="shared" si="1"/>
        <v>254.62155702578173</v>
      </c>
    </row>
    <row r="48" spans="1:12" x14ac:dyDescent="0.3">
      <c r="A48" s="295">
        <v>47</v>
      </c>
      <c r="B48" s="310">
        <v>248.78</v>
      </c>
      <c r="C48" s="294">
        <f t="shared" si="0"/>
        <v>-3.2599999999999909</v>
      </c>
      <c r="D48" s="294">
        <f t="shared" si="2"/>
        <v>-1.3700000000000045</v>
      </c>
      <c r="E48" s="294">
        <f t="shared" si="2"/>
        <v>1.75</v>
      </c>
      <c r="F48" s="294">
        <f t="shared" si="2"/>
        <v>1.9000000000000057</v>
      </c>
      <c r="G48" s="294">
        <f t="shared" si="2"/>
        <v>1.7099999999999795</v>
      </c>
      <c r="H48" s="294">
        <f t="shared" si="6"/>
        <v>-3.0199999999999818</v>
      </c>
      <c r="I48" s="294">
        <f t="shared" si="5"/>
        <v>-0.73000000000001819</v>
      </c>
      <c r="J48" s="307">
        <f t="shared" si="3"/>
        <v>252.41764705527646</v>
      </c>
      <c r="K48" s="294">
        <f t="shared" si="4"/>
        <v>-3.5452852368078567</v>
      </c>
      <c r="L48" s="294">
        <f t="shared" si="1"/>
        <v>252.32528523680784</v>
      </c>
    </row>
    <row r="49" spans="1:12" x14ac:dyDescent="0.3">
      <c r="A49" s="296">
        <v>48</v>
      </c>
      <c r="B49" s="309">
        <v>247.76</v>
      </c>
      <c r="C49" s="294">
        <f t="shared" si="0"/>
        <v>-1.0200000000000102</v>
      </c>
      <c r="D49" s="294">
        <f t="shared" si="2"/>
        <v>-3.2599999999999909</v>
      </c>
      <c r="E49" s="294">
        <f t="shared" si="2"/>
        <v>-1.3700000000000045</v>
      </c>
      <c r="F49" s="294">
        <f t="shared" si="2"/>
        <v>1.75</v>
      </c>
      <c r="G49" s="294">
        <f t="shared" si="2"/>
        <v>1.9000000000000057</v>
      </c>
      <c r="H49" s="294">
        <f t="shared" si="6"/>
        <v>1.7099999999999795</v>
      </c>
      <c r="I49" s="294">
        <f t="shared" si="5"/>
        <v>-3.0199999999999818</v>
      </c>
      <c r="J49" s="307">
        <f t="shared" si="3"/>
        <v>248.62273511164219</v>
      </c>
      <c r="K49" s="294">
        <f t="shared" si="4"/>
        <v>-1.0254654699912533</v>
      </c>
      <c r="L49" s="294">
        <f t="shared" si="1"/>
        <v>248.78546546999124</v>
      </c>
    </row>
    <row r="50" spans="1:12" x14ac:dyDescent="0.3">
      <c r="A50" s="295">
        <v>49</v>
      </c>
      <c r="B50" s="310">
        <v>249.27</v>
      </c>
      <c r="C50" s="294">
        <f t="shared" si="0"/>
        <v>1.5100000000000193</v>
      </c>
      <c r="D50" s="294">
        <f t="shared" si="2"/>
        <v>-1.0200000000000102</v>
      </c>
      <c r="E50" s="294">
        <f t="shared" si="2"/>
        <v>-3.2599999999999909</v>
      </c>
      <c r="F50" s="294">
        <f t="shared" si="2"/>
        <v>-1.3700000000000045</v>
      </c>
      <c r="G50" s="294">
        <f t="shared" si="2"/>
        <v>1.75</v>
      </c>
      <c r="H50" s="294">
        <f t="shared" si="6"/>
        <v>1.9000000000000057</v>
      </c>
      <c r="I50" s="294">
        <f t="shared" si="5"/>
        <v>1.7099999999999795</v>
      </c>
      <c r="J50" s="307">
        <f t="shared" si="3"/>
        <v>248.23670482261613</v>
      </c>
      <c r="K50" s="294">
        <f t="shared" si="4"/>
        <v>0.77290151200280643</v>
      </c>
      <c r="L50" s="294">
        <f t="shared" si="1"/>
        <v>248.49709848799719</v>
      </c>
    </row>
    <row r="51" spans="1:12" x14ac:dyDescent="0.3">
      <c r="A51" s="296">
        <v>50</v>
      </c>
      <c r="B51" s="309">
        <v>247.95</v>
      </c>
      <c r="C51" s="294">
        <f t="shared" si="0"/>
        <v>-1.3200000000000216</v>
      </c>
      <c r="D51" s="294">
        <f t="shared" si="2"/>
        <v>1.5100000000000193</v>
      </c>
      <c r="E51" s="294">
        <f t="shared" si="2"/>
        <v>-1.0200000000000102</v>
      </c>
      <c r="F51" s="294">
        <f t="shared" si="2"/>
        <v>-3.2599999999999909</v>
      </c>
      <c r="G51" s="294">
        <f t="shared" si="2"/>
        <v>-1.3700000000000045</v>
      </c>
      <c r="H51" s="294">
        <f t="shared" si="6"/>
        <v>1.75</v>
      </c>
      <c r="I51" s="294">
        <f t="shared" si="5"/>
        <v>1.9000000000000057</v>
      </c>
      <c r="J51" s="307">
        <f t="shared" si="3"/>
        <v>250.46275096938587</v>
      </c>
      <c r="K51" s="294">
        <f t="shared" si="4"/>
        <v>-2.5792567311563626</v>
      </c>
      <c r="L51" s="294">
        <f t="shared" si="1"/>
        <v>250.52925673115635</v>
      </c>
    </row>
    <row r="52" spans="1:12" x14ac:dyDescent="0.3">
      <c r="A52" s="295">
        <v>51</v>
      </c>
      <c r="B52" s="310">
        <v>251.41</v>
      </c>
      <c r="C52" s="294">
        <f t="shared" si="0"/>
        <v>3.460000000000008</v>
      </c>
      <c r="D52" s="294">
        <f t="shared" si="2"/>
        <v>-1.3200000000000216</v>
      </c>
      <c r="E52" s="294">
        <f t="shared" si="2"/>
        <v>1.5100000000000193</v>
      </c>
      <c r="F52" s="294">
        <f t="shared" si="2"/>
        <v>-1.0200000000000102</v>
      </c>
      <c r="G52" s="294">
        <f t="shared" si="2"/>
        <v>-3.2599999999999909</v>
      </c>
      <c r="H52" s="294">
        <f t="shared" si="6"/>
        <v>-1.3700000000000045</v>
      </c>
      <c r="I52" s="294">
        <f t="shared" si="5"/>
        <v>1.75</v>
      </c>
      <c r="J52" s="307">
        <f t="shared" si="3"/>
        <v>248.3417981648964</v>
      </c>
      <c r="K52" s="294">
        <f t="shared" si="4"/>
        <v>3.1740468695906934</v>
      </c>
      <c r="L52" s="294">
        <f t="shared" si="1"/>
        <v>248.23595313040929</v>
      </c>
    </row>
    <row r="53" spans="1:12" x14ac:dyDescent="0.3">
      <c r="A53" s="296">
        <v>52</v>
      </c>
      <c r="B53" s="309">
        <v>254.67</v>
      </c>
      <c r="C53" s="294">
        <f t="shared" si="0"/>
        <v>3.2599999999999909</v>
      </c>
      <c r="D53" s="294">
        <f t="shared" si="2"/>
        <v>3.460000000000008</v>
      </c>
      <c r="E53" s="294">
        <f t="shared" si="2"/>
        <v>-1.3200000000000216</v>
      </c>
      <c r="F53" s="294">
        <f t="shared" si="2"/>
        <v>1.5100000000000193</v>
      </c>
      <c r="G53" s="294">
        <f t="shared" si="2"/>
        <v>-1.0200000000000102</v>
      </c>
      <c r="H53" s="294">
        <f t="shared" si="6"/>
        <v>-3.2599999999999909</v>
      </c>
      <c r="I53" s="294">
        <f t="shared" si="5"/>
        <v>-1.3700000000000045</v>
      </c>
      <c r="J53" s="307">
        <f t="shared" si="3"/>
        <v>253.15464424456405</v>
      </c>
      <c r="K53" s="294">
        <f t="shared" si="4"/>
        <v>1.303567523269419</v>
      </c>
      <c r="L53" s="294">
        <f t="shared" si="1"/>
        <v>253.36643247673055</v>
      </c>
    </row>
    <row r="54" spans="1:12" x14ac:dyDescent="0.3">
      <c r="A54" s="295">
        <v>53</v>
      </c>
      <c r="B54" s="310">
        <v>258.62</v>
      </c>
      <c r="C54" s="294">
        <f t="shared" si="0"/>
        <v>3.9500000000000171</v>
      </c>
      <c r="D54" s="294">
        <f t="shared" si="2"/>
        <v>3.2599999999999909</v>
      </c>
      <c r="E54" s="294">
        <f t="shared" si="2"/>
        <v>3.460000000000008</v>
      </c>
      <c r="F54" s="294">
        <f t="shared" si="2"/>
        <v>-1.3200000000000216</v>
      </c>
      <c r="G54" s="294">
        <f t="shared" si="2"/>
        <v>1.5100000000000193</v>
      </c>
      <c r="H54" s="294">
        <f t="shared" si="6"/>
        <v>-1.0200000000000102</v>
      </c>
      <c r="I54" s="294">
        <f t="shared" si="5"/>
        <v>-3.2599999999999909</v>
      </c>
      <c r="J54" s="307">
        <f t="shared" si="3"/>
        <v>256.35803980608421</v>
      </c>
      <c r="K54" s="294">
        <f t="shared" si="4"/>
        <v>2.5366636872446007</v>
      </c>
      <c r="L54" s="294">
        <f t="shared" si="1"/>
        <v>256.08333631275542</v>
      </c>
    </row>
    <row r="55" spans="1:12" x14ac:dyDescent="0.3">
      <c r="A55" s="296">
        <v>54</v>
      </c>
      <c r="B55" s="309">
        <v>259.25</v>
      </c>
      <c r="C55" s="294">
        <f t="shared" si="0"/>
        <v>0.62999999999999545</v>
      </c>
      <c r="D55" s="294">
        <f t="shared" si="2"/>
        <v>3.9500000000000171</v>
      </c>
      <c r="E55" s="294">
        <f t="shared" si="2"/>
        <v>3.2599999999999909</v>
      </c>
      <c r="F55" s="294">
        <f t="shared" si="2"/>
        <v>3.460000000000008</v>
      </c>
      <c r="G55" s="294">
        <f t="shared" si="2"/>
        <v>-1.3200000000000216</v>
      </c>
      <c r="H55" s="294">
        <f t="shared" si="6"/>
        <v>1.5100000000000193</v>
      </c>
      <c r="I55" s="294">
        <f t="shared" si="5"/>
        <v>-1.0200000000000102</v>
      </c>
      <c r="J55" s="307">
        <f t="shared" si="3"/>
        <v>260.5033251188396</v>
      </c>
      <c r="K55" s="294">
        <f t="shared" si="4"/>
        <v>-1.1413674226869466</v>
      </c>
      <c r="L55" s="294">
        <f t="shared" si="1"/>
        <v>260.39136742268693</v>
      </c>
    </row>
    <row r="56" spans="1:12" x14ac:dyDescent="0.3">
      <c r="A56" s="295">
        <v>55</v>
      </c>
      <c r="B56" s="310">
        <v>261.49</v>
      </c>
      <c r="C56" s="294">
        <f t="shared" si="0"/>
        <v>2.2400000000000091</v>
      </c>
      <c r="D56" s="294">
        <f t="shared" si="2"/>
        <v>0.62999999999999545</v>
      </c>
      <c r="E56" s="294">
        <f t="shared" si="2"/>
        <v>3.9500000000000171</v>
      </c>
      <c r="F56" s="294">
        <f t="shared" si="2"/>
        <v>3.2599999999999909</v>
      </c>
      <c r="G56" s="294">
        <f t="shared" si="2"/>
        <v>3.460000000000008</v>
      </c>
      <c r="H56" s="294">
        <f t="shared" si="6"/>
        <v>-1.3200000000000216</v>
      </c>
      <c r="I56" s="294">
        <f t="shared" si="5"/>
        <v>1.5100000000000193</v>
      </c>
      <c r="J56" s="307">
        <f t="shared" si="3"/>
        <v>260.19369144007459</v>
      </c>
      <c r="K56" s="294">
        <f t="shared" si="4"/>
        <v>1.5365537979957202</v>
      </c>
      <c r="L56" s="294">
        <f t="shared" si="1"/>
        <v>259.95344620200427</v>
      </c>
    </row>
    <row r="57" spans="1:12" x14ac:dyDescent="0.3">
      <c r="A57" s="296">
        <v>56</v>
      </c>
      <c r="B57" s="309">
        <v>264.95</v>
      </c>
      <c r="C57" s="294">
        <f t="shared" si="0"/>
        <v>3.4599999999999795</v>
      </c>
      <c r="D57" s="294">
        <f t="shared" si="2"/>
        <v>2.2400000000000091</v>
      </c>
      <c r="E57" s="294">
        <f t="shared" si="2"/>
        <v>0.62999999999999545</v>
      </c>
      <c r="F57" s="294">
        <f t="shared" si="2"/>
        <v>3.9500000000000171</v>
      </c>
      <c r="G57" s="294">
        <f t="shared" si="2"/>
        <v>3.2599999999999909</v>
      </c>
      <c r="H57" s="294">
        <f t="shared" si="6"/>
        <v>3.460000000000008</v>
      </c>
      <c r="I57" s="294">
        <f t="shared" si="5"/>
        <v>-1.3200000000000216</v>
      </c>
      <c r="J57" s="307">
        <f t="shared" si="3"/>
        <v>262.88935716983718</v>
      </c>
      <c r="K57" s="294">
        <f t="shared" si="4"/>
        <v>1.9790158127510149</v>
      </c>
      <c r="L57" s="294">
        <f t="shared" si="1"/>
        <v>262.97098418724897</v>
      </c>
    </row>
    <row r="58" spans="1:12" x14ac:dyDescent="0.3">
      <c r="A58" s="295">
        <v>57</v>
      </c>
      <c r="B58" s="310">
        <v>268.20999999999998</v>
      </c>
      <c r="C58" s="294">
        <f t="shared" si="0"/>
        <v>3.2599999999999909</v>
      </c>
      <c r="D58" s="294">
        <f t="shared" si="2"/>
        <v>3.4599999999999795</v>
      </c>
      <c r="E58" s="294">
        <f t="shared" si="2"/>
        <v>2.2400000000000091</v>
      </c>
      <c r="F58" s="294">
        <f t="shared" si="2"/>
        <v>0.62999999999999545</v>
      </c>
      <c r="G58" s="294">
        <f t="shared" si="2"/>
        <v>3.9500000000000171</v>
      </c>
      <c r="H58" s="294">
        <f t="shared" si="6"/>
        <v>3.2599999999999909</v>
      </c>
      <c r="I58" s="294">
        <f t="shared" si="5"/>
        <v>3.460000000000008</v>
      </c>
      <c r="J58" s="307">
        <f t="shared" si="3"/>
        <v>266.69464424456402</v>
      </c>
      <c r="K58" s="294">
        <f t="shared" si="4"/>
        <v>1.6505463787575834</v>
      </c>
      <c r="L58" s="294">
        <f t="shared" si="1"/>
        <v>266.55945362124237</v>
      </c>
    </row>
    <row r="59" spans="1:12" x14ac:dyDescent="0.3">
      <c r="A59" s="296">
        <v>58</v>
      </c>
      <c r="B59" s="309">
        <v>272.16000000000003</v>
      </c>
      <c r="C59" s="294">
        <f t="shared" si="0"/>
        <v>3.9500000000000455</v>
      </c>
      <c r="D59" s="294">
        <f t="shared" si="2"/>
        <v>3.2599999999999909</v>
      </c>
      <c r="E59" s="294">
        <f t="shared" si="2"/>
        <v>3.4599999999999795</v>
      </c>
      <c r="F59" s="294">
        <f t="shared" si="2"/>
        <v>2.2400000000000091</v>
      </c>
      <c r="G59" s="294">
        <f t="shared" si="2"/>
        <v>0.62999999999999545</v>
      </c>
      <c r="H59" s="294">
        <f t="shared" si="6"/>
        <v>3.9500000000000171</v>
      </c>
      <c r="I59" s="294">
        <f t="shared" si="5"/>
        <v>3.2599999999999909</v>
      </c>
      <c r="J59" s="307">
        <f t="shared" si="3"/>
        <v>269.89803980608417</v>
      </c>
      <c r="K59" s="294">
        <f t="shared" si="4"/>
        <v>2.4359179154366015</v>
      </c>
      <c r="L59" s="294">
        <f t="shared" si="1"/>
        <v>269.72408208456341</v>
      </c>
    </row>
    <row r="60" spans="1:12" x14ac:dyDescent="0.3">
      <c r="A60" s="295">
        <v>59</v>
      </c>
      <c r="B60" s="310">
        <v>272.79000000000002</v>
      </c>
      <c r="C60" s="294">
        <f t="shared" si="0"/>
        <v>0.62999999999999545</v>
      </c>
      <c r="D60" s="294">
        <f t="shared" si="2"/>
        <v>3.9500000000000455</v>
      </c>
      <c r="E60" s="294">
        <f t="shared" si="2"/>
        <v>3.2599999999999909</v>
      </c>
      <c r="F60" s="294">
        <f t="shared" si="2"/>
        <v>3.4599999999999795</v>
      </c>
      <c r="G60" s="294">
        <f t="shared" si="2"/>
        <v>2.2400000000000091</v>
      </c>
      <c r="H60" s="294">
        <f t="shared" si="6"/>
        <v>0.62999999999999545</v>
      </c>
      <c r="I60" s="294">
        <f t="shared" si="5"/>
        <v>3.9500000000000171</v>
      </c>
      <c r="J60" s="307">
        <f t="shared" si="3"/>
        <v>274.04332511883962</v>
      </c>
      <c r="K60" s="294">
        <f t="shared" si="4"/>
        <v>-1.1121157539565489</v>
      </c>
      <c r="L60" s="294">
        <f t="shared" si="1"/>
        <v>273.90211575395654</v>
      </c>
    </row>
    <row r="61" spans="1:12" x14ac:dyDescent="0.3">
      <c r="A61" s="296">
        <v>60</v>
      </c>
      <c r="B61" s="309">
        <v>275.02999999999997</v>
      </c>
      <c r="C61" s="294">
        <f t="shared" si="0"/>
        <v>2.2399999999999523</v>
      </c>
      <c r="D61" s="294">
        <f t="shared" si="2"/>
        <v>0.62999999999999545</v>
      </c>
      <c r="E61" s="294">
        <f t="shared" si="2"/>
        <v>3.9500000000000455</v>
      </c>
      <c r="F61" s="294">
        <f t="shared" si="2"/>
        <v>3.2599999999999909</v>
      </c>
      <c r="G61" s="294">
        <f t="shared" si="2"/>
        <v>3.4599999999999795</v>
      </c>
      <c r="H61" s="294">
        <f t="shared" si="6"/>
        <v>2.2400000000000091</v>
      </c>
      <c r="I61" s="294">
        <f t="shared" si="5"/>
        <v>0.62999999999999545</v>
      </c>
      <c r="J61" s="307">
        <f t="shared" si="3"/>
        <v>273.73369144007461</v>
      </c>
      <c r="K61" s="294">
        <f t="shared" si="4"/>
        <v>1.5280605371058302</v>
      </c>
      <c r="L61" s="294">
        <f t="shared" si="1"/>
        <v>273.50193946289414</v>
      </c>
    </row>
    <row r="62" spans="1:12" x14ac:dyDescent="0.3">
      <c r="A62" s="295">
        <v>61</v>
      </c>
      <c r="B62" s="310">
        <v>278.49</v>
      </c>
      <c r="C62" s="294">
        <f t="shared" si="0"/>
        <v>3.4600000000000364</v>
      </c>
      <c r="D62" s="294">
        <f t="shared" si="2"/>
        <v>2.2399999999999523</v>
      </c>
      <c r="E62" s="294">
        <f t="shared" si="2"/>
        <v>0.62999999999999545</v>
      </c>
      <c r="F62" s="294">
        <f t="shared" si="2"/>
        <v>3.9500000000000455</v>
      </c>
      <c r="G62" s="294">
        <f t="shared" si="2"/>
        <v>3.2599999999999909</v>
      </c>
      <c r="H62" s="294">
        <f t="shared" si="6"/>
        <v>3.4599999999999795</v>
      </c>
      <c r="I62" s="294">
        <f t="shared" si="5"/>
        <v>2.2400000000000091</v>
      </c>
      <c r="J62" s="307">
        <f t="shared" si="3"/>
        <v>276.42935716983709</v>
      </c>
      <c r="K62" s="294">
        <f t="shared" si="4"/>
        <v>1.9814818423375578</v>
      </c>
      <c r="L62" s="294">
        <f t="shared" si="1"/>
        <v>276.50851815766242</v>
      </c>
    </row>
    <row r="63" spans="1:12" x14ac:dyDescent="0.3">
      <c r="A63" s="296">
        <v>62</v>
      </c>
      <c r="B63" s="309">
        <v>281.75</v>
      </c>
      <c r="C63" s="294">
        <f t="shared" si="0"/>
        <v>3.2599999999999909</v>
      </c>
      <c r="D63" s="294">
        <f t="shared" si="2"/>
        <v>3.4600000000000364</v>
      </c>
      <c r="E63" s="294">
        <f t="shared" si="2"/>
        <v>2.2399999999999523</v>
      </c>
      <c r="F63" s="294">
        <f t="shared" si="2"/>
        <v>0.62999999999999545</v>
      </c>
      <c r="G63" s="294">
        <f t="shared" si="2"/>
        <v>3.9500000000000455</v>
      </c>
      <c r="H63" s="294">
        <f t="shared" si="6"/>
        <v>3.2599999999999909</v>
      </c>
      <c r="I63" s="294">
        <f t="shared" si="5"/>
        <v>3.4599999999999795</v>
      </c>
      <c r="J63" s="307">
        <f t="shared" si="3"/>
        <v>280.23464424456404</v>
      </c>
      <c r="K63" s="294">
        <f t="shared" si="4"/>
        <v>1.6498303637899041</v>
      </c>
      <c r="L63" s="294">
        <f t="shared" si="1"/>
        <v>280.10016963621007</v>
      </c>
    </row>
    <row r="64" spans="1:12" x14ac:dyDescent="0.3">
      <c r="A64" s="295">
        <v>63</v>
      </c>
      <c r="B64" s="310">
        <v>285.7</v>
      </c>
      <c r="C64" s="294">
        <f t="shared" si="0"/>
        <v>3.9499999999999886</v>
      </c>
      <c r="D64" s="294">
        <f t="shared" si="2"/>
        <v>3.2599999999999909</v>
      </c>
      <c r="E64" s="294">
        <f t="shared" si="2"/>
        <v>3.4600000000000364</v>
      </c>
      <c r="F64" s="294">
        <f t="shared" si="2"/>
        <v>2.2399999999999523</v>
      </c>
      <c r="G64" s="294">
        <f t="shared" si="2"/>
        <v>0.62999999999999545</v>
      </c>
      <c r="H64" s="294">
        <f t="shared" si="6"/>
        <v>3.9500000000000455</v>
      </c>
      <c r="I64" s="294">
        <f t="shared" si="5"/>
        <v>3.2599999999999909</v>
      </c>
      <c r="J64" s="307">
        <f t="shared" si="3"/>
        <v>283.43803980608419</v>
      </c>
      <c r="K64" s="294">
        <f t="shared" si="4"/>
        <v>2.4361258113339574</v>
      </c>
      <c r="L64" s="294">
        <f t="shared" si="1"/>
        <v>283.26387418866602</v>
      </c>
    </row>
    <row r="65" spans="1:12" x14ac:dyDescent="0.3">
      <c r="A65" s="296">
        <v>64</v>
      </c>
      <c r="B65" s="309">
        <v>286.33</v>
      </c>
      <c r="C65" s="294">
        <f t="shared" si="0"/>
        <v>0.62999999999999545</v>
      </c>
      <c r="D65" s="294">
        <f t="shared" si="2"/>
        <v>3.9499999999999886</v>
      </c>
      <c r="E65" s="294">
        <f t="shared" si="2"/>
        <v>3.2599999999999909</v>
      </c>
      <c r="F65" s="294">
        <f t="shared" si="2"/>
        <v>3.4600000000000364</v>
      </c>
      <c r="G65" s="294">
        <f t="shared" si="2"/>
        <v>2.2399999999999523</v>
      </c>
      <c r="H65" s="294">
        <f t="shared" si="6"/>
        <v>0.62999999999999545</v>
      </c>
      <c r="I65" s="294">
        <f t="shared" si="5"/>
        <v>3.9500000000000455</v>
      </c>
      <c r="J65" s="307">
        <f t="shared" si="3"/>
        <v>287.58332511883958</v>
      </c>
      <c r="K65" s="294">
        <f t="shared" si="4"/>
        <v>-1.1121761168066291</v>
      </c>
      <c r="L65" s="294">
        <f t="shared" si="1"/>
        <v>287.44217611680659</v>
      </c>
    </row>
    <row r="66" spans="1:12" x14ac:dyDescent="0.3">
      <c r="A66" s="318">
        <v>65</v>
      </c>
      <c r="B66" s="319">
        <v>288.57</v>
      </c>
      <c r="C66" s="294">
        <f t="shared" si="0"/>
        <v>2.2400000000000091</v>
      </c>
      <c r="D66" s="294">
        <f t="shared" si="2"/>
        <v>0.62999999999999545</v>
      </c>
      <c r="E66" s="294">
        <f t="shared" si="2"/>
        <v>3.9499999999999886</v>
      </c>
      <c r="F66" s="294">
        <f t="shared" si="2"/>
        <v>3.2599999999999909</v>
      </c>
      <c r="G66" s="294">
        <f t="shared" si="2"/>
        <v>3.4600000000000364</v>
      </c>
      <c r="H66" s="294">
        <f t="shared" si="6"/>
        <v>2.2399999999999523</v>
      </c>
      <c r="I66" s="294">
        <f t="shared" si="5"/>
        <v>0.62999999999999545</v>
      </c>
      <c r="J66" s="307">
        <f t="shared" si="3"/>
        <v>287.27369144007457</v>
      </c>
      <c r="K66" s="294">
        <f t="shared" si="4"/>
        <v>1.5280780635396269</v>
      </c>
      <c r="L66" s="294">
        <f t="shared" si="1"/>
        <v>287.04192193646037</v>
      </c>
    </row>
  </sheetData>
  <mergeCells count="1">
    <mergeCell ref="N7:O7"/>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2AD5-D953-4F62-9C94-58708563C3C6}">
  <dimension ref="A2:M29"/>
  <sheetViews>
    <sheetView zoomScaleNormal="100" workbookViewId="0">
      <selection activeCell="F8" sqref="F8"/>
    </sheetView>
  </sheetViews>
  <sheetFormatPr defaultRowHeight="14.4" x14ac:dyDescent="0.3"/>
  <cols>
    <col min="9" max="9" width="26.6640625" bestFit="1" customWidth="1"/>
  </cols>
  <sheetData>
    <row r="2" spans="1:13" x14ac:dyDescent="0.3">
      <c r="A2" t="s">
        <v>32</v>
      </c>
      <c r="B2" t="s">
        <v>217</v>
      </c>
      <c r="C2" t="s">
        <v>218</v>
      </c>
      <c r="D2" t="s">
        <v>219</v>
      </c>
      <c r="E2" t="s">
        <v>220</v>
      </c>
      <c r="F2" t="s">
        <v>221</v>
      </c>
      <c r="G2" t="s">
        <v>222</v>
      </c>
      <c r="H2" t="s">
        <v>223</v>
      </c>
      <c r="I2" t="s">
        <v>224</v>
      </c>
      <c r="L2" t="s">
        <v>225</v>
      </c>
      <c r="M2">
        <v>0.3</v>
      </c>
    </row>
    <row r="3" spans="1:13" x14ac:dyDescent="0.3">
      <c r="L3" t="s">
        <v>226</v>
      </c>
      <c r="M3">
        <v>0.1</v>
      </c>
    </row>
    <row r="4" spans="1:13" x14ac:dyDescent="0.3">
      <c r="A4">
        <v>2000</v>
      </c>
      <c r="B4">
        <v>1</v>
      </c>
      <c r="C4">
        <v>500</v>
      </c>
      <c r="D4" s="386">
        <v>500</v>
      </c>
      <c r="E4" s="386">
        <v>0</v>
      </c>
      <c r="F4" s="386">
        <f>D4+0*E4</f>
        <v>500</v>
      </c>
      <c r="G4" s="386">
        <f>C4-F4</f>
        <v>0</v>
      </c>
      <c r="H4" s="386">
        <f>G4*G4</f>
        <v>0</v>
      </c>
      <c r="I4">
        <f>ABS(C4-F4)/C4*100</f>
        <v>0</v>
      </c>
      <c r="L4" t="s">
        <v>123</v>
      </c>
      <c r="M4" s="386">
        <f>AVERAGE(H4:H27)</f>
        <v>21448.346279575246</v>
      </c>
    </row>
    <row r="5" spans="1:13" x14ac:dyDescent="0.3">
      <c r="B5">
        <v>2</v>
      </c>
      <c r="C5">
        <v>350</v>
      </c>
      <c r="D5" s="386">
        <f>M$2*(C5)+(1-M$2)*(D4+E4)</f>
        <v>455</v>
      </c>
      <c r="E5" s="386">
        <f>M$3*(D5-D4)+(1-M$3)*(E4)</f>
        <v>-4.5</v>
      </c>
      <c r="F5" s="386">
        <v>500</v>
      </c>
      <c r="G5" s="386">
        <f t="shared" ref="G5:G28" si="0">C5-F5</f>
        <v>-150</v>
      </c>
      <c r="H5" s="386">
        <f t="shared" ref="H5:H28" si="1">G5*G5</f>
        <v>22500</v>
      </c>
      <c r="I5">
        <f t="shared" ref="I5:I28" si="2">ABS(C5-F5)/C5*100</f>
        <v>42.857142857142854</v>
      </c>
    </row>
    <row r="6" spans="1:13" x14ac:dyDescent="0.3">
      <c r="B6">
        <v>3</v>
      </c>
      <c r="C6">
        <v>250</v>
      </c>
      <c r="D6" s="386">
        <f t="shared" ref="D6:D27" si="3">M$2*(C6)+(1-M$2)*(D5+E5)</f>
        <v>390.34999999999997</v>
      </c>
      <c r="E6" s="386">
        <f t="shared" ref="E6:E27" si="4">M$3*(D6-D5)+(1-M$3)*(E5)</f>
        <v>-10.515000000000004</v>
      </c>
      <c r="F6" s="386">
        <f>D5+(1*E5)</f>
        <v>450.5</v>
      </c>
      <c r="G6" s="386">
        <f t="shared" si="0"/>
        <v>-200.5</v>
      </c>
      <c r="H6" s="386">
        <f t="shared" si="1"/>
        <v>40200.25</v>
      </c>
      <c r="I6">
        <f t="shared" si="2"/>
        <v>80.2</v>
      </c>
    </row>
    <row r="7" spans="1:13" x14ac:dyDescent="0.3">
      <c r="B7">
        <v>4</v>
      </c>
      <c r="C7">
        <v>400</v>
      </c>
      <c r="D7" s="386">
        <f t="shared" si="3"/>
        <v>385.88449999999995</v>
      </c>
      <c r="E7" s="386">
        <f t="shared" si="4"/>
        <v>-9.9100500000000054</v>
      </c>
      <c r="F7" s="386">
        <f t="shared" ref="F7:F28" si="5">D6+(1*E6)</f>
        <v>379.83499999999998</v>
      </c>
      <c r="G7" s="386">
        <f t="shared" si="0"/>
        <v>20.16500000000002</v>
      </c>
      <c r="H7" s="386">
        <f t="shared" si="1"/>
        <v>406.62722500000081</v>
      </c>
      <c r="I7">
        <f t="shared" si="2"/>
        <v>5.0412500000000051</v>
      </c>
    </row>
    <row r="8" spans="1:13" x14ac:dyDescent="0.3">
      <c r="A8">
        <v>2001</v>
      </c>
      <c r="B8">
        <v>5</v>
      </c>
      <c r="C8">
        <v>450</v>
      </c>
      <c r="D8" s="386">
        <f t="shared" si="3"/>
        <v>398.18211499999995</v>
      </c>
      <c r="E8" s="386">
        <f t="shared" si="4"/>
        <v>-7.6892835000000055</v>
      </c>
      <c r="F8" s="386">
        <f t="shared" si="5"/>
        <v>375.97444999999993</v>
      </c>
      <c r="G8" s="386">
        <f t="shared" si="0"/>
        <v>74.025550000000067</v>
      </c>
      <c r="H8" s="386">
        <f t="shared" si="1"/>
        <v>5479.7820528025095</v>
      </c>
      <c r="I8">
        <f t="shared" si="2"/>
        <v>16.450122222222237</v>
      </c>
    </row>
    <row r="9" spans="1:13" x14ac:dyDescent="0.3">
      <c r="B9">
        <v>6</v>
      </c>
      <c r="C9">
        <v>350</v>
      </c>
      <c r="D9" s="386">
        <f t="shared" si="3"/>
        <v>378.34498204999994</v>
      </c>
      <c r="E9" s="386">
        <f t="shared" si="4"/>
        <v>-8.9040684450000072</v>
      </c>
      <c r="F9" s="386">
        <f t="shared" si="5"/>
        <v>390.49283149999997</v>
      </c>
      <c r="G9" s="386">
        <f t="shared" si="0"/>
        <v>-40.492831499999966</v>
      </c>
      <c r="H9" s="386">
        <f t="shared" si="1"/>
        <v>1639.6694028873894</v>
      </c>
      <c r="I9">
        <f t="shared" si="2"/>
        <v>11.569380428571419</v>
      </c>
    </row>
    <row r="10" spans="1:13" x14ac:dyDescent="0.3">
      <c r="B10">
        <v>7</v>
      </c>
      <c r="C10">
        <v>200</v>
      </c>
      <c r="D10" s="386">
        <f t="shared" si="3"/>
        <v>318.60863952349996</v>
      </c>
      <c r="E10" s="386">
        <f t="shared" si="4"/>
        <v>-13.987295853150005</v>
      </c>
      <c r="F10" s="386">
        <f t="shared" si="5"/>
        <v>369.44091360499993</v>
      </c>
      <c r="G10" s="386">
        <f t="shared" si="0"/>
        <v>-169.44091360499993</v>
      </c>
      <c r="H10" s="386">
        <f t="shared" si="1"/>
        <v>28710.223203297053</v>
      </c>
      <c r="I10">
        <f t="shared" si="2"/>
        <v>84.720456802499967</v>
      </c>
    </row>
    <row r="11" spans="1:13" x14ac:dyDescent="0.3">
      <c r="B11">
        <v>8</v>
      </c>
      <c r="C11">
        <v>300</v>
      </c>
      <c r="D11" s="386">
        <f t="shared" si="3"/>
        <v>303.23494056924494</v>
      </c>
      <c r="E11" s="386">
        <f t="shared" si="4"/>
        <v>-14.125936163260508</v>
      </c>
      <c r="F11" s="386">
        <f t="shared" si="5"/>
        <v>304.62134367034997</v>
      </c>
      <c r="G11" s="386">
        <f t="shared" si="0"/>
        <v>-4.6213436703499724</v>
      </c>
      <c r="H11" s="386">
        <f t="shared" si="1"/>
        <v>21.356817319483753</v>
      </c>
      <c r="I11">
        <f t="shared" si="2"/>
        <v>1.5404478901166574</v>
      </c>
    </row>
    <row r="12" spans="1:13" x14ac:dyDescent="0.3">
      <c r="A12">
        <v>2002</v>
      </c>
      <c r="B12">
        <v>9</v>
      </c>
      <c r="C12">
        <v>350</v>
      </c>
      <c r="D12" s="386">
        <f t="shared" si="3"/>
        <v>307.37630308418909</v>
      </c>
      <c r="E12" s="386">
        <f t="shared" si="4"/>
        <v>-12.299206295440042</v>
      </c>
      <c r="F12" s="386">
        <f t="shared" si="5"/>
        <v>289.10900440598442</v>
      </c>
      <c r="G12" s="386">
        <f t="shared" si="0"/>
        <v>60.890995594015578</v>
      </c>
      <c r="H12" s="386">
        <f t="shared" si="1"/>
        <v>3707.7133444304245</v>
      </c>
      <c r="I12">
        <f t="shared" si="2"/>
        <v>17.397427312575882</v>
      </c>
    </row>
    <row r="13" spans="1:13" x14ac:dyDescent="0.3">
      <c r="B13">
        <v>10</v>
      </c>
      <c r="C13">
        <v>200</v>
      </c>
      <c r="D13" s="386">
        <f t="shared" si="3"/>
        <v>266.55396775212432</v>
      </c>
      <c r="E13" s="386">
        <f t="shared" si="4"/>
        <v>-15.151519199102514</v>
      </c>
      <c r="F13" s="386">
        <f t="shared" si="5"/>
        <v>295.07709678874903</v>
      </c>
      <c r="G13" s="386">
        <f t="shared" si="0"/>
        <v>-95.077096788749031</v>
      </c>
      <c r="H13" s="386">
        <f t="shared" si="1"/>
        <v>9039.6543337771509</v>
      </c>
      <c r="I13">
        <f t="shared" si="2"/>
        <v>47.538548394374516</v>
      </c>
    </row>
    <row r="14" spans="1:13" x14ac:dyDescent="0.3">
      <c r="B14">
        <v>11</v>
      </c>
      <c r="C14">
        <v>150</v>
      </c>
      <c r="D14" s="386">
        <f t="shared" si="3"/>
        <v>220.98171398711526</v>
      </c>
      <c r="E14" s="386">
        <f t="shared" si="4"/>
        <v>-18.19359265569317</v>
      </c>
      <c r="F14" s="386">
        <f t="shared" si="5"/>
        <v>251.4024485530218</v>
      </c>
      <c r="G14" s="386">
        <f t="shared" si="0"/>
        <v>-101.4024485530218</v>
      </c>
      <c r="H14" s="386">
        <f t="shared" si="1"/>
        <v>10282.456572548233</v>
      </c>
      <c r="I14">
        <f t="shared" si="2"/>
        <v>67.601632368681194</v>
      </c>
    </row>
    <row r="15" spans="1:13" x14ac:dyDescent="0.3">
      <c r="B15">
        <v>12</v>
      </c>
      <c r="C15">
        <v>400</v>
      </c>
      <c r="D15" s="386">
        <f t="shared" si="3"/>
        <v>261.95168493199543</v>
      </c>
      <c r="E15" s="386">
        <f t="shared" si="4"/>
        <v>-12.277236295635834</v>
      </c>
      <c r="F15" s="386">
        <f t="shared" si="5"/>
        <v>202.78812133142208</v>
      </c>
      <c r="G15" s="386">
        <f t="shared" si="0"/>
        <v>197.21187866857792</v>
      </c>
      <c r="H15" s="386">
        <f t="shared" si="1"/>
        <v>38892.525087989903</v>
      </c>
      <c r="I15">
        <f t="shared" si="2"/>
        <v>49.302969667144481</v>
      </c>
    </row>
    <row r="16" spans="1:13" x14ac:dyDescent="0.3">
      <c r="A16">
        <v>2003</v>
      </c>
      <c r="B16">
        <v>13</v>
      </c>
      <c r="C16">
        <v>550</v>
      </c>
      <c r="D16" s="386">
        <f t="shared" si="3"/>
        <v>339.7721140454517</v>
      </c>
      <c r="E16" s="386">
        <f t="shared" si="4"/>
        <v>-3.2674697547266245</v>
      </c>
      <c r="F16" s="386">
        <f t="shared" si="5"/>
        <v>249.67444863635959</v>
      </c>
      <c r="G16" s="386">
        <f t="shared" si="0"/>
        <v>300.32555136364044</v>
      </c>
      <c r="H16" s="386">
        <f t="shared" si="1"/>
        <v>90195.436801874632</v>
      </c>
      <c r="I16">
        <f t="shared" si="2"/>
        <v>54.604645702480084</v>
      </c>
    </row>
    <row r="17" spans="1:9" x14ac:dyDescent="0.3">
      <c r="B17">
        <v>14</v>
      </c>
      <c r="C17">
        <v>350</v>
      </c>
      <c r="D17" s="386">
        <f t="shared" si="3"/>
        <v>340.55325100350751</v>
      </c>
      <c r="E17" s="386">
        <f t="shared" si="4"/>
        <v>-2.8626090834483811</v>
      </c>
      <c r="F17" s="386">
        <f t="shared" si="5"/>
        <v>336.50464429072508</v>
      </c>
      <c r="G17" s="386">
        <f t="shared" si="0"/>
        <v>13.495355709274918</v>
      </c>
      <c r="H17" s="386">
        <f t="shared" si="1"/>
        <v>182.12462571985913</v>
      </c>
      <c r="I17">
        <f t="shared" si="2"/>
        <v>3.8558159169356907</v>
      </c>
    </row>
    <row r="18" spans="1:9" x14ac:dyDescent="0.3">
      <c r="B18">
        <v>15</v>
      </c>
      <c r="C18">
        <v>250</v>
      </c>
      <c r="D18" s="386">
        <f t="shared" si="3"/>
        <v>311.38344934404137</v>
      </c>
      <c r="E18" s="386">
        <f t="shared" si="4"/>
        <v>-5.4933283410501579</v>
      </c>
      <c r="F18" s="386">
        <f t="shared" si="5"/>
        <v>337.69064192005914</v>
      </c>
      <c r="G18" s="386">
        <f t="shared" si="0"/>
        <v>-87.690641920059136</v>
      </c>
      <c r="H18" s="386">
        <f t="shared" si="1"/>
        <v>7689.6486803520329</v>
      </c>
      <c r="I18">
        <f t="shared" si="2"/>
        <v>35.076256768023654</v>
      </c>
    </row>
    <row r="19" spans="1:9" x14ac:dyDescent="0.3">
      <c r="B19">
        <v>16</v>
      </c>
      <c r="C19">
        <v>550</v>
      </c>
      <c r="D19" s="386">
        <f t="shared" si="3"/>
        <v>379.12308470209382</v>
      </c>
      <c r="E19" s="386">
        <f t="shared" si="4"/>
        <v>1.8299680288601037</v>
      </c>
      <c r="F19" s="386">
        <f t="shared" si="5"/>
        <v>305.89012100299124</v>
      </c>
      <c r="G19" s="386">
        <f t="shared" si="0"/>
        <v>244.10987899700876</v>
      </c>
      <c r="H19" s="386">
        <f t="shared" si="1"/>
        <v>59589.633023934257</v>
      </c>
      <c r="I19">
        <f t="shared" si="2"/>
        <v>44.383614363092505</v>
      </c>
    </row>
    <row r="20" spans="1:9" x14ac:dyDescent="0.3">
      <c r="A20">
        <v>2004</v>
      </c>
      <c r="B20">
        <v>17</v>
      </c>
      <c r="C20">
        <v>550</v>
      </c>
      <c r="D20" s="386">
        <f t="shared" si="3"/>
        <v>431.66713691166774</v>
      </c>
      <c r="E20" s="386">
        <f t="shared" si="4"/>
        <v>6.9013764469314856</v>
      </c>
      <c r="F20" s="386">
        <f t="shared" si="5"/>
        <v>380.95305273095391</v>
      </c>
      <c r="G20" s="386">
        <f t="shared" si="0"/>
        <v>169.04694726904609</v>
      </c>
      <c r="H20" s="386">
        <f t="shared" si="1"/>
        <v>28576.870380983648</v>
      </c>
      <c r="I20">
        <f t="shared" si="2"/>
        <v>30.735808594372017</v>
      </c>
    </row>
    <row r="21" spans="1:9" x14ac:dyDescent="0.3">
      <c r="B21">
        <v>18</v>
      </c>
      <c r="C21">
        <v>400</v>
      </c>
      <c r="D21" s="386">
        <f t="shared" si="3"/>
        <v>426.9979593510194</v>
      </c>
      <c r="E21" s="386">
        <f t="shared" si="4"/>
        <v>5.7443210461735035</v>
      </c>
      <c r="F21" s="386">
        <f t="shared" si="5"/>
        <v>438.5685133585992</v>
      </c>
      <c r="G21" s="386">
        <f t="shared" si="0"/>
        <v>-38.568513358599205</v>
      </c>
      <c r="H21" s="386">
        <f t="shared" si="1"/>
        <v>1487.5302226924452</v>
      </c>
      <c r="I21">
        <f t="shared" si="2"/>
        <v>9.6421283396498012</v>
      </c>
    </row>
    <row r="22" spans="1:9" x14ac:dyDescent="0.3">
      <c r="B22">
        <v>19</v>
      </c>
      <c r="C22">
        <v>350</v>
      </c>
      <c r="D22" s="386">
        <f t="shared" si="3"/>
        <v>407.91959627803504</v>
      </c>
      <c r="E22" s="386">
        <f t="shared" si="4"/>
        <v>3.2620526342577172</v>
      </c>
      <c r="F22" s="386">
        <f t="shared" si="5"/>
        <v>432.74228039719293</v>
      </c>
      <c r="G22" s="386">
        <f t="shared" si="0"/>
        <v>-82.742280397192928</v>
      </c>
      <c r="H22" s="386">
        <f t="shared" si="1"/>
        <v>6846.2849653276971</v>
      </c>
      <c r="I22">
        <f t="shared" si="2"/>
        <v>23.640651542055121</v>
      </c>
    </row>
    <row r="23" spans="1:9" x14ac:dyDescent="0.3">
      <c r="B23">
        <v>20</v>
      </c>
      <c r="C23">
        <v>600</v>
      </c>
      <c r="D23" s="386">
        <f t="shared" si="3"/>
        <v>467.82715423860492</v>
      </c>
      <c r="E23" s="386">
        <f t="shared" si="4"/>
        <v>8.926603166888933</v>
      </c>
      <c r="F23" s="386">
        <f t="shared" si="5"/>
        <v>411.18164891229276</v>
      </c>
      <c r="G23" s="386">
        <f t="shared" si="0"/>
        <v>188.81835108770724</v>
      </c>
      <c r="H23" s="386">
        <f t="shared" si="1"/>
        <v>35652.369707480677</v>
      </c>
      <c r="I23">
        <f t="shared" si="2"/>
        <v>31.469725181284542</v>
      </c>
    </row>
    <row r="24" spans="1:9" x14ac:dyDescent="0.3">
      <c r="A24">
        <v>2005</v>
      </c>
      <c r="B24">
        <v>21</v>
      </c>
      <c r="C24">
        <v>750</v>
      </c>
      <c r="D24" s="386">
        <f t="shared" si="3"/>
        <v>558.72763018384569</v>
      </c>
      <c r="E24" s="386">
        <f t="shared" si="4"/>
        <v>17.123990444724118</v>
      </c>
      <c r="F24" s="386">
        <f t="shared" si="5"/>
        <v>476.75375740549384</v>
      </c>
      <c r="G24" s="386">
        <f t="shared" si="0"/>
        <v>273.24624259450616</v>
      </c>
      <c r="H24" s="386">
        <f t="shared" si="1"/>
        <v>74663.509092015709</v>
      </c>
      <c r="I24">
        <f t="shared" si="2"/>
        <v>36.432832345934152</v>
      </c>
    </row>
    <row r="25" spans="1:9" x14ac:dyDescent="0.3">
      <c r="B25">
        <v>22</v>
      </c>
      <c r="C25">
        <v>500</v>
      </c>
      <c r="D25" s="386">
        <f t="shared" si="3"/>
        <v>553.09613443999888</v>
      </c>
      <c r="E25" s="386">
        <f t="shared" si="4"/>
        <v>14.848441825867026</v>
      </c>
      <c r="F25" s="386">
        <f t="shared" si="5"/>
        <v>575.85162062856978</v>
      </c>
      <c r="G25" s="386">
        <f t="shared" si="0"/>
        <v>-75.851620628569776</v>
      </c>
      <c r="H25" s="386">
        <f t="shared" si="1"/>
        <v>5753.4683519804721</v>
      </c>
      <c r="I25">
        <f t="shared" si="2"/>
        <v>15.170324125713956</v>
      </c>
    </row>
    <row r="26" spans="1:9" x14ac:dyDescent="0.3">
      <c r="B26">
        <v>23</v>
      </c>
      <c r="C26">
        <v>400</v>
      </c>
      <c r="D26" s="386">
        <f t="shared" si="3"/>
        <v>517.56120338610606</v>
      </c>
      <c r="E26" s="386">
        <f t="shared" si="4"/>
        <v>9.810104537891041</v>
      </c>
      <c r="F26" s="386">
        <f t="shared" si="5"/>
        <v>567.94457626586586</v>
      </c>
      <c r="G26" s="386">
        <f t="shared" si="0"/>
        <v>-167.94457626586586</v>
      </c>
      <c r="H26" s="386">
        <f t="shared" si="1"/>
        <v>28205.380697121236</v>
      </c>
      <c r="I26">
        <f t="shared" si="2"/>
        <v>41.986144066466466</v>
      </c>
    </row>
    <row r="27" spans="1:9" x14ac:dyDescent="0.3">
      <c r="B27">
        <v>24</v>
      </c>
      <c r="C27">
        <v>650</v>
      </c>
      <c r="D27" s="386">
        <f t="shared" si="3"/>
        <v>564.15991554679795</v>
      </c>
      <c r="E27" s="386">
        <f t="shared" si="4"/>
        <v>13.488965300171127</v>
      </c>
      <c r="F27" s="386">
        <f t="shared" si="5"/>
        <v>527.37130792399705</v>
      </c>
      <c r="G27" s="386">
        <f t="shared" si="0"/>
        <v>122.62869207600295</v>
      </c>
      <c r="H27" s="386">
        <f t="shared" si="1"/>
        <v>15037.796120271149</v>
      </c>
      <c r="I27">
        <f t="shared" si="2"/>
        <v>18.865952627077377</v>
      </c>
    </row>
    <row r="28" spans="1:9" x14ac:dyDescent="0.3">
      <c r="A28">
        <v>2006</v>
      </c>
      <c r="B28">
        <v>25</v>
      </c>
      <c r="C28">
        <v>850</v>
      </c>
      <c r="D28" s="386"/>
      <c r="E28" s="386"/>
      <c r="F28" s="386">
        <f t="shared" si="5"/>
        <v>577.64888084696906</v>
      </c>
      <c r="G28" s="386">
        <f t="shared" si="0"/>
        <v>272.35111915303094</v>
      </c>
      <c r="H28" s="386">
        <f t="shared" si="1"/>
        <v>74175.132103908458</v>
      </c>
      <c r="I28">
        <f t="shared" si="2"/>
        <v>32.041308135650695</v>
      </c>
    </row>
    <row r="29" spans="1:9" x14ac:dyDescent="0.3">
      <c r="H29" s="386">
        <f>AVERAGE(H4:H28)</f>
        <v>23557.417712548577</v>
      </c>
      <c r="I29">
        <f>AVERAGE(I5:I28)</f>
        <v>33.421857735502719</v>
      </c>
    </row>
  </sheetData>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0FE0-63A4-4704-B068-BF3FC0802CBF}">
  <dimension ref="A1:Q156"/>
  <sheetViews>
    <sheetView zoomScale="85" zoomScaleNormal="85" workbookViewId="0">
      <selection activeCell="H2" sqref="H2"/>
    </sheetView>
  </sheetViews>
  <sheetFormatPr defaultRowHeight="14.4" x14ac:dyDescent="0.3"/>
  <cols>
    <col min="1" max="1" width="9" customWidth="1"/>
    <col min="3" max="3" width="10" customWidth="1"/>
    <col min="7" max="7" width="17" customWidth="1"/>
    <col min="8" max="8" width="15.44140625" customWidth="1"/>
    <col min="9" max="10" width="15.88671875" customWidth="1"/>
    <col min="13" max="13" width="15.5546875" customWidth="1"/>
  </cols>
  <sheetData>
    <row r="1" spans="1:17" x14ac:dyDescent="0.3">
      <c r="A1" t="s">
        <v>227</v>
      </c>
      <c r="B1" t="s">
        <v>228</v>
      </c>
      <c r="C1" t="s">
        <v>32</v>
      </c>
      <c r="D1" t="s">
        <v>208</v>
      </c>
      <c r="E1" t="s">
        <v>34</v>
      </c>
      <c r="F1" t="s">
        <v>94</v>
      </c>
      <c r="G1" t="s">
        <v>229</v>
      </c>
      <c r="H1" t="s">
        <v>209</v>
      </c>
      <c r="I1" t="s">
        <v>210</v>
      </c>
      <c r="J1" t="s">
        <v>230</v>
      </c>
      <c r="K1" t="s">
        <v>212</v>
      </c>
      <c r="L1" t="s">
        <v>213</v>
      </c>
      <c r="M1" t="s">
        <v>214</v>
      </c>
      <c r="N1" t="s">
        <v>231</v>
      </c>
      <c r="O1" t="s">
        <v>216</v>
      </c>
    </row>
    <row r="2" spans="1:17" x14ac:dyDescent="0.3">
      <c r="A2" s="175">
        <v>1</v>
      </c>
      <c r="B2" s="175">
        <f>Table3[[#This Row],[Time ]]^2</f>
        <v>1</v>
      </c>
      <c r="C2" s="175">
        <v>1980</v>
      </c>
      <c r="D2" s="175">
        <v>1</v>
      </c>
      <c r="E2" s="175">
        <v>218.1</v>
      </c>
      <c r="F2" s="387">
        <f>$C$67+$B$67*Table3[[#This Row],[Time ]]</f>
        <v>-259.51840277777808</v>
      </c>
      <c r="G2" s="387">
        <f>$D$68+$C$68*Table3[ [#This Row],[Time ] ]+$B$68*Table3[[#This Row],[Time^2]]</f>
        <v>264.35160256410222</v>
      </c>
      <c r="H2" s="387">
        <f>Table3[[#This Row],[Sales]]/Table3[[#This Row],[Trend]]</f>
        <v>-0.84040282949319756</v>
      </c>
      <c r="I2" s="387">
        <f t="shared" ref="I2:I62" si="0">MEDIAN($H$2,$H$6,$H$10,$H$14,$H$18,$H$22,$H$26,$H$34,$H$38,$H$42,$H$46,$H$50,$H$54,$H$58,$H$62)</f>
        <v>0.84715772398012901</v>
      </c>
      <c r="J2" s="387">
        <f>Table3[[#This Row],[Seasonality]]*4/SUM($I$2:$I$5)</f>
        <v>0.94061313711373673</v>
      </c>
      <c r="K2" s="387">
        <f>Table3[[#This Row],[Sales]]/(Table3[[#This Row],[Trend]]* Table3[[#This Row],[Seasonality correction ]])</f>
        <v>-0.89346278117267885</v>
      </c>
      <c r="L2" s="387"/>
      <c r="M2" s="387"/>
      <c r="N2" s="387">
        <f>Table3[[#This Row],[Trend]]*Table3[[#This Row],[Seasonality correction ]] *1*1</f>
        <v>-244.10641897555212</v>
      </c>
      <c r="O2" s="387">
        <f>Table3[[#This Row],[Sales]]-Table3[[#This Row],[Multidecomp fit]]</f>
        <v>462.20641897555208</v>
      </c>
    </row>
    <row r="3" spans="1:17" x14ac:dyDescent="0.3">
      <c r="A3" s="175">
        <v>2</v>
      </c>
      <c r="B3" s="175">
        <f>Table3[[#This Row],[Time ]]^2</f>
        <v>4</v>
      </c>
      <c r="C3" s="175"/>
      <c r="D3" s="175">
        <v>2</v>
      </c>
      <c r="E3" s="175">
        <v>245.4</v>
      </c>
      <c r="F3" s="175">
        <f>$C$67+$B$67*Table3[[#This Row],[Time ]]</f>
        <v>-214.55472670250924</v>
      </c>
      <c r="G3" s="175">
        <f>$D$68+$C$68*Table3[ [#This Row],[Time ] ]+$B$68*Table3[[#This Row],[Time^2]]</f>
        <v>258.61818134822136</v>
      </c>
      <c r="H3" s="175">
        <f>Table3[[#This Row],[Sales]]/Table3[[#This Row],[Trend]]</f>
        <v>-1.1437641284885756</v>
      </c>
      <c r="I3" s="387">
        <f>MEDIAN($H$3,$H$7,$H$11,$H$15,$H$19,$H$23,$H$27,$H$35,$H$39,$H$43,$H$47,$H$51,$H$55,$H$59,$H$63)</f>
        <v>0.91205487801385277</v>
      </c>
      <c r="J3" s="175">
        <f>Table3[[#This Row],[Seasonality]]*4/SUM($I$2:$I$5)</f>
        <v>1.012669513296699</v>
      </c>
      <c r="K3" s="175">
        <f>Table3[[#This Row],[Sales]]/(Table3[[#This Row],[Trend]]* Table3[[#This Row],[Seasonality correction ]])</f>
        <v>-1.1294544898118875</v>
      </c>
      <c r="L3" s="175">
        <f t="shared" ref="L3:L64" si="1">AVERAGE(K2:K4)</f>
        <v>-1.1533295156145364</v>
      </c>
      <c r="M3" s="175">
        <f>Table3[[#This Row],[CI]]/Table3[[#This Row],[C]]</f>
        <v>0.97929904205223817</v>
      </c>
      <c r="N3" s="175">
        <f>Table3[[#This Row],[Trend]]*Table3[[#This Row],[Seasonality correction ]] *1*1</f>
        <v>-217.27303066533631</v>
      </c>
      <c r="O3" s="175">
        <f>Table3[[#This Row],[Sales]]-Table3[[#This Row],[Multidecomp fit]]</f>
        <v>462.67303066533634</v>
      </c>
      <c r="P3" t="s">
        <v>17</v>
      </c>
      <c r="Q3">
        <f t="array" ref="Q3">AVERAGE(ABS(O2:O64)/E2:E64)*100</f>
        <v>37.310790877964315</v>
      </c>
    </row>
    <row r="4" spans="1:17" x14ac:dyDescent="0.3">
      <c r="A4" s="175">
        <v>3</v>
      </c>
      <c r="B4" s="175">
        <f>Table3[[#This Row],[Time ]]^2</f>
        <v>9</v>
      </c>
      <c r="C4" s="175"/>
      <c r="D4" s="175">
        <v>3</v>
      </c>
      <c r="E4" s="175">
        <v>265.5</v>
      </c>
      <c r="F4" s="175">
        <f>$C$67+$B$67*Table3[[#This Row],[Time ]]</f>
        <v>-169.59105062724043</v>
      </c>
      <c r="G4" s="175">
        <f>$D$68+$C$68*Table3[ [#This Row],[Time ] ]+$B$68*Table3[[#This Row],[Time^2]]</f>
        <v>254.54696004352576</v>
      </c>
      <c r="H4" s="175">
        <f>Table3[[#This Row],[Sales]]/Table3[[#This Row],[Trend]]</f>
        <v>-1.5655307223938753</v>
      </c>
      <c r="I4" s="387">
        <f>MEDIAN($H$4,$H$8,$H$12,$H$16,$H$20,$H$24,$H$28,$H$36,$H$40,$H$44,$H$48,$H$52,$H$56,$H$60,$H$64)</f>
        <v>0.98115251355574673</v>
      </c>
      <c r="J4" s="175">
        <f>Table3[[#This Row],[Seasonality]]*4/SUM($I$2:$I$5)</f>
        <v>1.089389753099089</v>
      </c>
      <c r="K4" s="175">
        <f>Table3[[#This Row],[Sales]]/(Table3[[#This Row],[Trend]]* Table3[[#This Row],[Seasonality correction ]])</f>
        <v>-1.4370712758590427</v>
      </c>
      <c r="L4" s="175">
        <f t="shared" si="1"/>
        <v>-1.4240592045658402</v>
      </c>
      <c r="M4" s="175">
        <f>Table3[[#This Row],[CI]]/Table3[[#This Row],[C]]</f>
        <v>1.0091373106198696</v>
      </c>
      <c r="N4" s="175">
        <f>Table3[[#This Row],[Trend]]*Table3[[#This Row],[Seasonality correction ]] *1*1</f>
        <v>-184.75075277062456</v>
      </c>
      <c r="O4" s="175">
        <f>Table3[[#This Row],[Sales]]-Table3[[#This Row],[Multidecomp fit]]</f>
        <v>450.25075277062456</v>
      </c>
      <c r="P4" t="s">
        <v>16</v>
      </c>
      <c r="Q4">
        <f t="array" ref="Q4">AVERAGE(ABS(O2:O64))</f>
        <v>228.2210125374155</v>
      </c>
    </row>
    <row r="5" spans="1:17" x14ac:dyDescent="0.3">
      <c r="A5" s="175">
        <v>4</v>
      </c>
      <c r="B5" s="175">
        <f>Table3[[#This Row],[Time ]]^2</f>
        <v>16</v>
      </c>
      <c r="C5" s="175"/>
      <c r="D5" s="175">
        <v>4</v>
      </c>
      <c r="E5" s="175">
        <v>203.5</v>
      </c>
      <c r="F5" s="175">
        <f>$C$67+$B$67*Table3[[#This Row],[Time ]]</f>
        <v>-124.6273745519716</v>
      </c>
      <c r="G5" s="175">
        <f>$D$68+$C$68*Table3[ [#This Row],[Time ] ]+$B$68*Table3[[#This Row],[Time^2]]</f>
        <v>252.13793865001537</v>
      </c>
      <c r="H5" s="175">
        <f>Table3[[#This Row],[Sales]]/Table3[[#This Row],[Trend]]</f>
        <v>-1.6328675841208327</v>
      </c>
      <c r="I5" s="387">
        <f>MEDIAN($H$5,$H$9,$H$13,$H$17,$H$21,$H$25,$H$29,$H$37,$H$41,$H$45,$H$49,$H$53,$H$57,$H$61,$H$65)</f>
        <v>0.86221150412039504</v>
      </c>
      <c r="J5" s="175">
        <f>Table3[[#This Row],[Seasonality]]*4/SUM($I$2:$I$5)</f>
        <v>0.95732759649047516</v>
      </c>
      <c r="K5" s="175">
        <f>Table3[[#This Row],[Sales]]/(Table3[[#This Row],[Trend]]* Table3[[#This Row],[Seasonality correction ]])</f>
        <v>-1.7056518480265901</v>
      </c>
      <c r="L5" s="175">
        <f t="shared" si="1"/>
        <v>-2.0934014214391259</v>
      </c>
      <c r="M5" s="175">
        <f>Table3[[#This Row],[CI]]/Table3[[#This Row],[C]]</f>
        <v>0.81477533671207014</v>
      </c>
      <c r="N5" s="175">
        <f>Table3[[#This Row],[Trend]]*Table3[[#This Row],[Seasonality correction ]] *1*1</f>
        <v>-119.30922493675718</v>
      </c>
      <c r="O5" s="175">
        <f>Table3[[#This Row],[Sales]]-Table3[[#This Row],[Multidecomp fit]]</f>
        <v>322.80922493675718</v>
      </c>
      <c r="P5" t="s">
        <v>15</v>
      </c>
      <c r="Q5">
        <f t="array" ref="Q5">AVERAGE(O2:O64^2)</f>
        <v>81753.304786675071</v>
      </c>
    </row>
    <row r="6" spans="1:17" x14ac:dyDescent="0.3">
      <c r="A6" s="175">
        <v>5</v>
      </c>
      <c r="B6" s="175">
        <f>Table3[[#This Row],[Time ]]^2</f>
        <v>25</v>
      </c>
      <c r="C6" s="175">
        <v>1981</v>
      </c>
      <c r="D6" s="175">
        <v>1</v>
      </c>
      <c r="E6" s="175">
        <v>235.1</v>
      </c>
      <c r="F6" s="175">
        <f>$C$67+$B$67*Table3[[#This Row],[Time ]]</f>
        <v>-79.663698476702763</v>
      </c>
      <c r="G6" s="175">
        <f>$D$68+$C$68*Table3[ [#This Row],[Time ] ]+$B$68*Table3[[#This Row],[Time^2]]</f>
        <v>251.3911171676902</v>
      </c>
      <c r="H6" s="175">
        <f>Table3[[#This Row],[Sales]]/Table3[[#This Row],[Trend]]</f>
        <v>-2.951155978136689</v>
      </c>
      <c r="I6" s="387">
        <f t="shared" ref="I6:I66" si="2">MEDIAN($H$2,$H$6,$H$10,$H$14,$H$18,$H$22,$H$26,$H$34,$H$38,$H$42,$H$46,$H$50,$H$54,$H$58,$H$62)</f>
        <v>0.84715772398012901</v>
      </c>
      <c r="J6" s="175">
        <f>Table3[[#This Row],[Seasonality]]*4/SUM($I$2:$I$5)</f>
        <v>0.94061313711373673</v>
      </c>
      <c r="K6" s="175">
        <f>Table3[[#This Row],[Sales]]/(Table3[[#This Row],[Trend]]* Table3[[#This Row],[Seasonality correction ]])</f>
        <v>-3.137481140431746</v>
      </c>
      <c r="L6" s="175">
        <f t="shared" si="1"/>
        <v>-4.0617551483891594</v>
      </c>
      <c r="M6" s="175">
        <f>Table3[[#This Row],[CI]]/Table3[[#This Row],[C]]</f>
        <v>0.77244467620753343</v>
      </c>
      <c r="N6" s="175">
        <f>Table3[[#This Row],[Trend]]*Table3[[#This Row],[Seasonality correction ]] *1*1</f>
        <v>-74.932721338254197</v>
      </c>
      <c r="O6" s="175">
        <f>Table3[[#This Row],[Sales]]-Table3[[#This Row],[Multidecomp fit]]</f>
        <v>310.03272133825419</v>
      </c>
      <c r="P6" t="s">
        <v>232</v>
      </c>
      <c r="Q6">
        <f>SQRT(SUMSQ(O2:O64)/COUNTA(O2:O64))</f>
        <v>285.92534827586564</v>
      </c>
    </row>
    <row r="7" spans="1:17" x14ac:dyDescent="0.3">
      <c r="A7" s="175">
        <v>6</v>
      </c>
      <c r="B7" s="175">
        <f>Table3[[#This Row],[Time ]]^2</f>
        <v>36</v>
      </c>
      <c r="C7" s="175"/>
      <c r="D7" s="175">
        <v>2</v>
      </c>
      <c r="E7" s="175">
        <v>258</v>
      </c>
      <c r="F7" s="175">
        <f>$C$67+$B$67*Table3[[#This Row],[Time ]]</f>
        <v>-34.700022401433955</v>
      </c>
      <c r="G7" s="175">
        <f>$D$68+$C$68*Table3[ [#This Row],[Time ] ]+$B$68*Table3[[#This Row],[Time^2]]</f>
        <v>252.30649559655032</v>
      </c>
      <c r="H7" s="175">
        <f>Table3[[#This Row],[Sales]]/Table3[[#This Row],[Trend]]</f>
        <v>-7.4351537014955449</v>
      </c>
      <c r="I7" s="387">
        <f>MEDIAN($H$3,$H$7,$H$11,$H$15,$H$19,$H$23,$H$27,$H$35,$H$39,$H$43,$H$47,$H$51,$H$55,$H$59,$H$63)</f>
        <v>0.91205487801385277</v>
      </c>
      <c r="J7" s="175">
        <f>Table3[[#This Row],[Seasonality]]*4/SUM($I$2:$I$5)</f>
        <v>1.012669513296699</v>
      </c>
      <c r="K7" s="175">
        <f>Table3[[#This Row],[Sales]]/(Table3[[#This Row],[Trend]]* Table3[[#This Row],[Seasonality correction ]])</f>
        <v>-7.3421324567091428</v>
      </c>
      <c r="L7" s="175">
        <f t="shared" si="1"/>
        <v>5.7008661771623919</v>
      </c>
      <c r="M7" s="175">
        <f>Table3[[#This Row],[CI]]/Table3[[#This Row],[C]]</f>
        <v>-1.2878977033563155</v>
      </c>
      <c r="N7" s="175">
        <f>Table3[[#This Row],[Trend]]*Table3[[#This Row],[Seasonality correction ]] *1*1</f>
        <v>-35.139654796644678</v>
      </c>
      <c r="O7" s="175">
        <f>Table3[[#This Row],[Sales]]-Table3[[#This Row],[Multidecomp fit]]</f>
        <v>293.13965479664466</v>
      </c>
    </row>
    <row r="8" spans="1:17" x14ac:dyDescent="0.3">
      <c r="A8" s="175">
        <v>7</v>
      </c>
      <c r="B8" s="175">
        <f>Table3[[#This Row],[Time ]]^2</f>
        <v>49</v>
      </c>
      <c r="C8" s="175"/>
      <c r="D8" s="175">
        <v>3</v>
      </c>
      <c r="E8" s="175">
        <v>308.39999999999998</v>
      </c>
      <c r="F8" s="175">
        <f>$C$67+$B$67*Table3[[#This Row],[Time ]]</f>
        <v>10.263653673834881</v>
      </c>
      <c r="G8" s="175">
        <f>$D$68+$C$68*Table3[ [#This Row],[Time ] ]+$B$68*Table3[[#This Row],[Time^2]]</f>
        <v>254.88407393659563</v>
      </c>
      <c r="H8" s="175">
        <f>Table3[[#This Row],[Sales]]/Table3[[#This Row],[Trend]]</f>
        <v>30.047779260732824</v>
      </c>
      <c r="I8" s="387">
        <f>MEDIAN($H$4,$H$8,$H$12,$H$16,$H$20,$H$24,$H$28,$H$36,$H$40,$H$44,$H$48,$H$52,$H$56,$H$60,$H$64)</f>
        <v>0.98115251355574673</v>
      </c>
      <c r="J8" s="175">
        <f>Table3[[#This Row],[Seasonality]]*4/SUM($I$2:$I$5)</f>
        <v>1.089389753099089</v>
      </c>
      <c r="K8" s="175">
        <f>Table3[[#This Row],[Sales]]/(Table3[[#This Row],[Trend]]* Table3[[#This Row],[Seasonality correction ]])</f>
        <v>27.582212128628061</v>
      </c>
      <c r="L8" s="175">
        <f t="shared" si="1"/>
        <v>8.0820277471392927</v>
      </c>
      <c r="M8" s="175">
        <f>Table3[[#This Row],[CI]]/Table3[[#This Row],[C]]</f>
        <v>3.4127836468256416</v>
      </c>
      <c r="N8" s="175">
        <f>Table3[[#This Row],[Trend]]*Table3[[#This Row],[Seasonality correction ]] *1*1</f>
        <v>11.181119141633539</v>
      </c>
      <c r="O8" s="175">
        <f>Table3[[#This Row],[Sales]]-Table3[[#This Row],[Multidecomp fit]]</f>
        <v>297.21888085836645</v>
      </c>
    </row>
    <row r="9" spans="1:17" x14ac:dyDescent="0.3">
      <c r="A9" s="175">
        <v>8</v>
      </c>
      <c r="B9" s="175">
        <f>Table3[[#This Row],[Time ]]^2</f>
        <v>64</v>
      </c>
      <c r="C9" s="175"/>
      <c r="D9" s="175">
        <v>4</v>
      </c>
      <c r="E9" s="175">
        <v>211.8</v>
      </c>
      <c r="F9" s="175">
        <f>$C$67+$B$67*Table3[[#This Row],[Time ]]</f>
        <v>55.227329749103717</v>
      </c>
      <c r="G9" s="175">
        <f>$D$68+$C$68*Table3[ [#This Row],[Time ] ]+$B$68*Table3[[#This Row],[Time^2]]</f>
        <v>259.12385218782617</v>
      </c>
      <c r="H9" s="175">
        <f>Table3[[#This Row],[Sales]]/Table3[[#This Row],[Trend]]</f>
        <v>3.8350577687206995</v>
      </c>
      <c r="I9" s="387">
        <f>MEDIAN($H$5,$H$9,$H$13,$H$17,$H$21,$H$25,$H$29,$H$37,$H$41,$H$45,$H$49,$H$53,$H$57,$H$61,$H$65)</f>
        <v>0.86221150412039504</v>
      </c>
      <c r="J9" s="175">
        <f>Table3[[#This Row],[Seasonality]]*4/SUM($I$2:$I$5)</f>
        <v>0.95732759649047516</v>
      </c>
      <c r="K9" s="175">
        <f>Table3[[#This Row],[Sales]]/(Table3[[#This Row],[Trend]]* Table3[[#This Row],[Seasonality correction ]])</f>
        <v>4.0060035694989562</v>
      </c>
      <c r="L9" s="175">
        <f t="shared" si="1"/>
        <v>11.405528018244118</v>
      </c>
      <c r="M9" s="175">
        <f>Table3[[#This Row],[CI]]/Table3[[#This Row],[C]]</f>
        <v>0.35123350388434543</v>
      </c>
      <c r="N9" s="175">
        <f>Table3[[#This Row],[Trend]]*Table3[[#This Row],[Seasonality correction ]] *1*1</f>
        <v>52.870646849296378</v>
      </c>
      <c r="O9" s="175">
        <f>Table3[[#This Row],[Sales]]-Table3[[#This Row],[Multidecomp fit]]</f>
        <v>158.92935315070363</v>
      </c>
    </row>
    <row r="10" spans="1:17" x14ac:dyDescent="0.3">
      <c r="A10" s="175">
        <v>9</v>
      </c>
      <c r="B10" s="175">
        <f>Table3[[#This Row],[Time ]]^2</f>
        <v>81</v>
      </c>
      <c r="C10" s="175">
        <v>1982</v>
      </c>
      <c r="D10" s="175">
        <v>1</v>
      </c>
      <c r="E10" s="175">
        <v>247.7</v>
      </c>
      <c r="F10" s="175">
        <f>$C$67+$B$67*Table3[[#This Row],[Time ]]</f>
        <v>100.19100582437255</v>
      </c>
      <c r="G10" s="175">
        <f>$D$68+$C$68*Table3[ [#This Row],[Time ] ]+$B$68*Table3[[#This Row],[Time^2]]</f>
        <v>265.02583035024196</v>
      </c>
      <c r="H10" s="175">
        <f>Table3[[#This Row],[Sales]]/Table3[[#This Row],[Trend]]</f>
        <v>2.4722778053970216</v>
      </c>
      <c r="I10" s="387">
        <f t="shared" si="2"/>
        <v>0.84715772398012901</v>
      </c>
      <c r="J10" s="175">
        <f>Table3[[#This Row],[Seasonality]]*4/SUM($I$2:$I$5)</f>
        <v>0.94061313711373673</v>
      </c>
      <c r="K10" s="175">
        <f>Table3[[#This Row],[Sales]]/(Table3[[#This Row],[Trend]]* Table3[[#This Row],[Seasonality correction ]])</f>
        <v>2.628368356605336</v>
      </c>
      <c r="L10" s="175">
        <f t="shared" si="1"/>
        <v>2.8368808483114893</v>
      </c>
      <c r="M10" s="175">
        <f>Table3[[#This Row],[CI]]/Table3[[#This Row],[C]]</f>
        <v>0.92649938335257898</v>
      </c>
      <c r="N10" s="175">
        <f>Table3[[#This Row],[Trend]]*Table3[[#This Row],[Seasonality correction ]] *1*1</f>
        <v>94.240976299043737</v>
      </c>
      <c r="O10" s="175">
        <f>Table3[[#This Row],[Sales]]-Table3[[#This Row],[Multidecomp fit]]</f>
        <v>153.45902370095627</v>
      </c>
    </row>
    <row r="11" spans="1:17" x14ac:dyDescent="0.3">
      <c r="A11" s="175">
        <v>10</v>
      </c>
      <c r="B11" s="175">
        <f>Table3[[#This Row],[Time ]]^2</f>
        <v>100</v>
      </c>
      <c r="C11" s="175"/>
      <c r="D11" s="175">
        <v>2</v>
      </c>
      <c r="E11" s="175">
        <v>275.8</v>
      </c>
      <c r="F11" s="175">
        <f>$C$67+$B$67*Table3[[#This Row],[Time ]]</f>
        <v>145.15468189964139</v>
      </c>
      <c r="G11" s="175">
        <f>$D$68+$C$68*Table3[ [#This Row],[Time ] ]+$B$68*Table3[[#This Row],[Time^2]]</f>
        <v>272.59000842384296</v>
      </c>
      <c r="H11" s="175">
        <f>Table3[[#This Row],[Sales]]/Table3[[#This Row],[Trend]]</f>
        <v>1.9000420543836511</v>
      </c>
      <c r="I11" s="387">
        <f>MEDIAN($H$3,$H$7,$H$11,$H$15,$H$19,$H$23,$H$27,$H$35,$H$39,$H$43,$H$47,$H$51,$H$55,$H$59,$H$63)</f>
        <v>0.91205487801385277</v>
      </c>
      <c r="J11" s="175">
        <f>Table3[[#This Row],[Seasonality]]*4/SUM($I$2:$I$5)</f>
        <v>1.012669513296699</v>
      </c>
      <c r="K11" s="175">
        <f>Table3[[#This Row],[Sales]]/(Table3[[#This Row],[Trend]]* Table3[[#This Row],[Seasonality correction ]])</f>
        <v>1.8762706188301765</v>
      </c>
      <c r="L11" s="175">
        <f t="shared" si="1"/>
        <v>1.9763274232934112</v>
      </c>
      <c r="M11" s="175">
        <f>Table3[[#This Row],[CI]]/Table3[[#This Row],[C]]</f>
        <v>0.94937235435589062</v>
      </c>
      <c r="N11" s="175">
        <f>Table3[[#This Row],[Trend]]*Table3[[#This Row],[Seasonality correction ]] *1*1</f>
        <v>146.99372107204701</v>
      </c>
      <c r="O11" s="175">
        <f>Table3[[#This Row],[Sales]]-Table3[[#This Row],[Multidecomp fit]]</f>
        <v>128.806278927953</v>
      </c>
    </row>
    <row r="12" spans="1:17" x14ac:dyDescent="0.3">
      <c r="A12" s="175">
        <v>11</v>
      </c>
      <c r="B12" s="175">
        <f>Table3[[#This Row],[Time ]]^2</f>
        <v>121</v>
      </c>
      <c r="C12" s="175"/>
      <c r="D12" s="175">
        <v>3</v>
      </c>
      <c r="E12" s="175">
        <v>295</v>
      </c>
      <c r="F12" s="175">
        <f>$C$67+$B$67*Table3[[#This Row],[Time ]]</f>
        <v>190.11835797491023</v>
      </c>
      <c r="G12" s="175">
        <f>$D$68+$C$68*Table3[ [#This Row],[Time ] ]+$B$68*Table3[[#This Row],[Time^2]]</f>
        <v>281.81638640862923</v>
      </c>
      <c r="H12" s="175">
        <f>Table3[[#This Row],[Sales]]/Table3[[#This Row],[Trend]]</f>
        <v>1.5516649898634771</v>
      </c>
      <c r="I12" s="387">
        <f>MEDIAN($H$4,$H$8,$H$12,$H$16,$H$20,$H$24,$H$28,$H$36,$H$40,$H$44,$H$48,$H$52,$H$56,$H$60,$H$64)</f>
        <v>0.98115251355574673</v>
      </c>
      <c r="J12" s="175">
        <f>Table3[[#This Row],[Seasonality]]*4/SUM($I$2:$I$5)</f>
        <v>1.089389753099089</v>
      </c>
      <c r="K12" s="175">
        <f>Table3[[#This Row],[Sales]]/(Table3[[#This Row],[Trend]]* Table3[[#This Row],[Seasonality correction ]])</f>
        <v>1.4243432944447205</v>
      </c>
      <c r="L12" s="175">
        <f t="shared" si="1"/>
        <v>1.5002629619037975</v>
      </c>
      <c r="M12" s="175">
        <f>Table3[[#This Row],[CI]]/Table3[[#This Row],[C]]</f>
        <v>0.94939575968553092</v>
      </c>
      <c r="N12" s="175">
        <f>Table3[[#This Row],[Trend]]*Table3[[#This Row],[Seasonality correction ]] *1*1</f>
        <v>207.11299105389168</v>
      </c>
      <c r="O12" s="175">
        <f>Table3[[#This Row],[Sales]]-Table3[[#This Row],[Multidecomp fit]]</f>
        <v>87.887008946108324</v>
      </c>
    </row>
    <row r="13" spans="1:17" x14ac:dyDescent="0.3">
      <c r="A13" s="175">
        <v>12</v>
      </c>
      <c r="B13" s="175">
        <f>Table3[[#This Row],[Time ]]^2</f>
        <v>144</v>
      </c>
      <c r="C13" s="175"/>
      <c r="D13" s="175">
        <v>4</v>
      </c>
      <c r="E13" s="175">
        <v>270.10000000000002</v>
      </c>
      <c r="F13" s="175">
        <f>$C$67+$B$67*Table3[[#This Row],[Time ]]</f>
        <v>235.082034050179</v>
      </c>
      <c r="G13" s="175">
        <f>$D$68+$C$68*Table3[ [#This Row],[Time ] ]+$B$68*Table3[[#This Row],[Time^2]]</f>
        <v>292.70496430460076</v>
      </c>
      <c r="H13" s="175">
        <f>Table3[[#This Row],[Sales]]/Table3[[#This Row],[Trend]]</f>
        <v>1.1489606217306523</v>
      </c>
      <c r="I13" s="387">
        <f>MEDIAN($H$5,$H$9,$H$13,$H$17,$H$21,$H$25,$H$29,$H$37,$H$41,$H$45,$H$49,$H$53,$H$57,$H$61,$H$65)</f>
        <v>0.86221150412039504</v>
      </c>
      <c r="J13" s="175">
        <f>Table3[[#This Row],[Seasonality]]*4/SUM($I$2:$I$5)</f>
        <v>0.95732759649047516</v>
      </c>
      <c r="K13" s="175">
        <f>Table3[[#This Row],[Sales]]/(Table3[[#This Row],[Trend]]* Table3[[#This Row],[Seasonality correction ]])</f>
        <v>1.2001749724364952</v>
      </c>
      <c r="L13" s="175">
        <f t="shared" si="1"/>
        <v>1.274336275528136</v>
      </c>
      <c r="M13" s="175">
        <f>Table3[[#This Row],[CI]]/Table3[[#This Row],[C]]</f>
        <v>0.94180397708532204</v>
      </c>
      <c r="N13" s="175">
        <f>Table3[[#This Row],[Trend]]*Table3[[#This Row],[Seasonality correction ]] *1*1</f>
        <v>225.0505186353499</v>
      </c>
      <c r="O13" s="175">
        <f>Table3[[#This Row],[Sales]]-Table3[[#This Row],[Multidecomp fit]]</f>
        <v>45.04948136465012</v>
      </c>
    </row>
    <row r="14" spans="1:17" x14ac:dyDescent="0.3">
      <c r="A14" s="175">
        <v>13</v>
      </c>
      <c r="B14" s="175">
        <f>Table3[[#This Row],[Time ]]^2</f>
        <v>169</v>
      </c>
      <c r="C14" s="175">
        <v>1983</v>
      </c>
      <c r="D14" s="175">
        <v>1</v>
      </c>
      <c r="E14" s="175">
        <v>315.7</v>
      </c>
      <c r="F14" s="175">
        <f>$C$67+$B$67*Table3[[#This Row],[Time ]]</f>
        <v>280.04571012544784</v>
      </c>
      <c r="G14" s="175">
        <f>$D$68+$C$68*Table3[ [#This Row],[Time ] ]+$B$68*Table3[[#This Row],[Time^2]]</f>
        <v>305.25574211175751</v>
      </c>
      <c r="H14" s="175">
        <f>Table3[[#This Row],[Sales]]/Table3[[#This Row],[Trend]]</f>
        <v>1.127315965163618</v>
      </c>
      <c r="I14" s="387">
        <f t="shared" si="2"/>
        <v>0.84715772398012901</v>
      </c>
      <c r="J14" s="175">
        <f>Table3[[#This Row],[Seasonality]]*4/SUM($I$2:$I$5)</f>
        <v>0.94061313711373673</v>
      </c>
      <c r="K14" s="175">
        <f>Table3[[#This Row],[Sales]]/(Table3[[#This Row],[Trend]]* Table3[[#This Row],[Seasonality correction ]])</f>
        <v>1.1984905597031923</v>
      </c>
      <c r="L14" s="175">
        <f t="shared" si="1"/>
        <v>1.1626367987679904</v>
      </c>
      <c r="M14" s="175">
        <f>Table3[[#This Row],[CI]]/Table3[[#This Row],[C]]</f>
        <v>1.0308383159497403</v>
      </c>
      <c r="N14" s="175">
        <f>Table3[[#This Row],[Trend]]*Table3[[#This Row],[Seasonality correction ]] *1*1</f>
        <v>263.41467393634161</v>
      </c>
      <c r="O14" s="175">
        <f>Table3[[#This Row],[Sales]]-Table3[[#This Row],[Multidecomp fit]]</f>
        <v>52.285326063658374</v>
      </c>
    </row>
    <row r="15" spans="1:17" x14ac:dyDescent="0.3">
      <c r="A15" s="175">
        <v>14</v>
      </c>
      <c r="B15" s="175">
        <f>Table3[[#This Row],[Time ]]^2</f>
        <v>196</v>
      </c>
      <c r="C15" s="175"/>
      <c r="D15" s="175">
        <v>2</v>
      </c>
      <c r="E15" s="175">
        <v>358.5</v>
      </c>
      <c r="F15" s="175">
        <f>$C$67+$B$67*Table3[[#This Row],[Time ]]</f>
        <v>325.00938620071668</v>
      </c>
      <c r="G15" s="175">
        <f>$D$68+$C$68*Table3[ [#This Row],[Time ] ]+$B$68*Table3[[#This Row],[Time^2]]</f>
        <v>319.46871983009947</v>
      </c>
      <c r="H15" s="175">
        <f>Table3[[#This Row],[Sales]]/Table3[[#This Row],[Trend]]</f>
        <v>1.1030450664541744</v>
      </c>
      <c r="I15" s="387">
        <f>MEDIAN($H$3,$H$7,$H$11,$H$15,$H$19,$H$23,$H$27,$H$35,$H$39,$H$43,$H$47,$H$51,$H$55,$H$59,$H$63)</f>
        <v>0.91205487801385277</v>
      </c>
      <c r="J15" s="175">
        <f>Table3[[#This Row],[Seasonality]]*4/SUM($I$2:$I$5)</f>
        <v>1.012669513296699</v>
      </c>
      <c r="K15" s="175">
        <f>Table3[[#This Row],[Sales]]/(Table3[[#This Row],[Trend]]* Table3[[#This Row],[Seasonality correction ]])</f>
        <v>1.089244864164284</v>
      </c>
      <c r="L15" s="175">
        <f t="shared" si="1"/>
        <v>1.0627931929283359</v>
      </c>
      <c r="M15" s="175">
        <f>Table3[[#This Row],[CI]]/Table3[[#This Row],[C]]</f>
        <v>1.0248888225968642</v>
      </c>
      <c r="N15" s="175">
        <f>Table3[[#This Row],[Trend]]*Table3[[#This Row],[Seasonality correction ]] *1*1</f>
        <v>329.12709694073862</v>
      </c>
      <c r="O15" s="175">
        <f>Table3[[#This Row],[Sales]]-Table3[[#This Row],[Multidecomp fit]]</f>
        <v>29.372903059261375</v>
      </c>
    </row>
    <row r="16" spans="1:17" x14ac:dyDescent="0.3">
      <c r="A16" s="175">
        <v>15</v>
      </c>
      <c r="B16" s="175">
        <f>Table3[[#This Row],[Time ]]^2</f>
        <v>225</v>
      </c>
      <c r="C16" s="175"/>
      <c r="D16" s="175">
        <v>3</v>
      </c>
      <c r="E16" s="175">
        <v>363</v>
      </c>
      <c r="F16" s="175">
        <f>$C$67+$B$67*Table3[[#This Row],[Time ]]</f>
        <v>369.97306227598551</v>
      </c>
      <c r="G16" s="175">
        <f>$D$68+$C$68*Table3[ [#This Row],[Time ] ]+$B$68*Table3[[#This Row],[Time^2]]</f>
        <v>335.34389745962665</v>
      </c>
      <c r="H16" s="175">
        <f>Table3[[#This Row],[Sales]]/Table3[[#This Row],[Trend]]</f>
        <v>0.98115251355574673</v>
      </c>
      <c r="I16" s="387">
        <f>MEDIAN($H$4,$H$8,$H$12,$H$16,$H$20,$H$24,$H$28,$H$36,$H$40,$H$44,$H$48,$H$52,$H$56,$H$60,$H$64)</f>
        <v>0.98115251355574673</v>
      </c>
      <c r="J16" s="175">
        <f>Table3[[#This Row],[Seasonality]]*4/SUM($I$2:$I$5)</f>
        <v>1.089389753099089</v>
      </c>
      <c r="K16" s="175">
        <f>Table3[[#This Row],[Sales]]/(Table3[[#This Row],[Trend]]* Table3[[#This Row],[Seasonality correction ]])</f>
        <v>0.90064415491753091</v>
      </c>
      <c r="L16" s="175">
        <f t="shared" si="1"/>
        <v>0.91688553065807865</v>
      </c>
      <c r="M16" s="175">
        <f>Table3[[#This Row],[CI]]/Table3[[#This Row],[C]]</f>
        <v>0.98228636487600496</v>
      </c>
      <c r="N16" s="175">
        <f>Table3[[#This Row],[Trend]]*Table3[[#This Row],[Seasonality correction ]] *1*1</f>
        <v>403.04486296614976</v>
      </c>
      <c r="O16" s="175">
        <f>Table3[[#This Row],[Sales]]-Table3[[#This Row],[Multidecomp fit]]</f>
        <v>-40.044862966149765</v>
      </c>
    </row>
    <row r="17" spans="1:15" x14ac:dyDescent="0.3">
      <c r="A17" s="175">
        <v>16</v>
      </c>
      <c r="B17" s="175">
        <f>Table3[[#This Row],[Time ]]^2</f>
        <v>256</v>
      </c>
      <c r="C17" s="175"/>
      <c r="D17" s="175">
        <v>4</v>
      </c>
      <c r="E17" s="175">
        <v>302.2</v>
      </c>
      <c r="F17" s="175">
        <f>$C$67+$B$67*Table3[[#This Row],[Time ]]</f>
        <v>414.93673835125435</v>
      </c>
      <c r="G17" s="175">
        <f>$D$68+$C$68*Table3[ [#This Row],[Time ] ]+$B$68*Table3[[#This Row],[Time^2]]</f>
        <v>352.88127500033909</v>
      </c>
      <c r="H17" s="175">
        <f>Table3[[#This Row],[Sales]]/Table3[[#This Row],[Trend]]</f>
        <v>0.72830379204499385</v>
      </c>
      <c r="I17" s="387">
        <f>MEDIAN($H$5,$H$9,$H$13,$H$17,$H$21,$H$25,$H$29,$H$37,$H$41,$H$45,$H$49,$H$53,$H$57,$H$61,$H$65)</f>
        <v>0.86221150412039504</v>
      </c>
      <c r="J17" s="175">
        <f>Table3[[#This Row],[Seasonality]]*4/SUM($I$2:$I$5)</f>
        <v>0.95732759649047516</v>
      </c>
      <c r="K17" s="175">
        <f>Table3[[#This Row],[Sales]]/(Table3[[#This Row],[Trend]]* Table3[[#This Row],[Seasonality correction ]])</f>
        <v>0.76076757289242114</v>
      </c>
      <c r="L17" s="175">
        <f t="shared" si="1"/>
        <v>0.86765114971425261</v>
      </c>
      <c r="M17" s="175">
        <f>Table3[[#This Row],[CI]]/Table3[[#This Row],[C]]</f>
        <v>0.87681272956644851</v>
      </c>
      <c r="N17" s="175">
        <f>Table3[[#This Row],[Trend]]*Table3[[#This Row],[Seasonality correction ]] *1*1</f>
        <v>397.23039042140351</v>
      </c>
      <c r="O17" s="175">
        <f>Table3[[#This Row],[Sales]]-Table3[[#This Row],[Multidecomp fit]]</f>
        <v>-95.030390421403524</v>
      </c>
    </row>
    <row r="18" spans="1:15" x14ac:dyDescent="0.3">
      <c r="A18" s="175">
        <v>17</v>
      </c>
      <c r="B18" s="388">
        <f>Table3[[#This Row],[Time ]]^2</f>
        <v>289</v>
      </c>
      <c r="C18" s="388">
        <v>1984</v>
      </c>
      <c r="D18" s="388">
        <v>1</v>
      </c>
      <c r="E18" s="388">
        <v>407.3</v>
      </c>
      <c r="F18" s="175">
        <f>$C$67+$B$67*Table3[[#This Row],[Time ]]</f>
        <v>459.90041442652318</v>
      </c>
      <c r="G18" s="175">
        <f>$D$68+$C$68*Table3[ [#This Row],[Time ] ]+$B$68*Table3[[#This Row],[Time^2]]</f>
        <v>372.08085245223674</v>
      </c>
      <c r="H18" s="175">
        <f>Table3[[#This Row],[Sales]]/Table3[[#This Row],[Trend]]</f>
        <v>0.88562651222631816</v>
      </c>
      <c r="I18" s="387">
        <f t="shared" si="2"/>
        <v>0.84715772398012901</v>
      </c>
      <c r="J18" s="175">
        <f>Table3[[#This Row],[Seasonality]]*4/SUM($I$2:$I$5)</f>
        <v>0.94061313711373673</v>
      </c>
      <c r="K18" s="175">
        <f>Table3[[#This Row],[Sales]]/(Table3[[#This Row],[Trend]]* Table3[[#This Row],[Seasonality correction ]])</f>
        <v>0.94154172133280567</v>
      </c>
      <c r="L18" s="175">
        <f t="shared" si="1"/>
        <v>0.88254000105215324</v>
      </c>
      <c r="M18" s="175">
        <f>Table3[[#This Row],[CI]]/Table3[[#This Row],[C]]</f>
        <v>1.0668544430964164</v>
      </c>
      <c r="N18" s="175">
        <f>Table3[[#This Row],[Trend]]*Table3[[#This Row],[Seasonality correction ]] *1*1</f>
        <v>432.58837157363962</v>
      </c>
      <c r="O18" s="175">
        <f>Table3[[#This Row],[Sales]]-Table3[[#This Row],[Multidecomp fit]]</f>
        <v>-25.288371573639608</v>
      </c>
    </row>
    <row r="19" spans="1:15" x14ac:dyDescent="0.3">
      <c r="A19" s="175">
        <v>18</v>
      </c>
      <c r="B19" s="388">
        <f>Table3[[#This Row],[Time ]]^2</f>
        <v>324</v>
      </c>
      <c r="C19" s="388"/>
      <c r="D19" s="388">
        <v>2</v>
      </c>
      <c r="E19" s="388">
        <v>483.3</v>
      </c>
      <c r="F19" s="175">
        <f>$C$67+$B$67*Table3[[#This Row],[Time ]]</f>
        <v>504.86409050179202</v>
      </c>
      <c r="G19" s="175">
        <f>$D$68+$C$68*Table3[ [#This Row],[Time ] ]+$B$68*Table3[[#This Row],[Time^2]]</f>
        <v>392.94262981531966</v>
      </c>
      <c r="H19" s="175">
        <f>Table3[[#This Row],[Sales]]/Table3[[#This Row],[Trend]]</f>
        <v>0.9572873355275493</v>
      </c>
      <c r="I19" s="387">
        <f>MEDIAN($H$3,$H$7,$H$11,$H$15,$H$19,$H$23,$H$27,$H$35,$H$39,$H$43,$H$47,$H$51,$H$55,$H$59,$H$63)</f>
        <v>0.91205487801385277</v>
      </c>
      <c r="J19" s="175">
        <f>Table3[[#This Row],[Seasonality]]*4/SUM($I$2:$I$5)</f>
        <v>1.012669513296699</v>
      </c>
      <c r="K19" s="175">
        <f>Table3[[#This Row],[Sales]]/(Table3[[#This Row],[Trend]]* Table3[[#This Row],[Seasonality correction ]])</f>
        <v>0.94531070893123315</v>
      </c>
      <c r="L19" s="175">
        <f t="shared" si="1"/>
        <v>0.88672376020325094</v>
      </c>
      <c r="M19" s="175">
        <f>Table3[[#This Row],[CI]]/Table3[[#This Row],[C]]</f>
        <v>1.0660712516765685</v>
      </c>
      <c r="N19" s="175">
        <f>Table3[[#This Row],[Trend]]*Table3[[#This Row],[Seasonality correction ]] *1*1</f>
        <v>511.26047280943033</v>
      </c>
      <c r="O19" s="175">
        <f>Table3[[#This Row],[Sales]]-Table3[[#This Row],[Multidecomp fit]]</f>
        <v>-27.960472809430314</v>
      </c>
    </row>
    <row r="20" spans="1:15" x14ac:dyDescent="0.3">
      <c r="A20" s="175">
        <v>19</v>
      </c>
      <c r="B20" s="388">
        <f>Table3[[#This Row],[Time ]]^2</f>
        <v>361</v>
      </c>
      <c r="C20" s="388"/>
      <c r="D20" s="388">
        <v>3</v>
      </c>
      <c r="E20" s="388">
        <v>463.2</v>
      </c>
      <c r="F20" s="175">
        <f>$C$67+$B$67*Table3[[#This Row],[Time ]]</f>
        <v>549.82776657706086</v>
      </c>
      <c r="G20" s="175">
        <f>$D$68+$C$68*Table3[ [#This Row],[Time ] ]+$B$68*Table3[[#This Row],[Time^2]]</f>
        <v>415.4666070895878</v>
      </c>
      <c r="H20" s="175">
        <f>Table3[[#This Row],[Sales]]/Table3[[#This Row],[Trend]]</f>
        <v>0.84244563144498885</v>
      </c>
      <c r="I20" s="387">
        <f>MEDIAN($H$4,$H$8,$H$12,$H$16,$H$20,$H$24,$H$28,$H$36,$H$40,$H$44,$H$48,$H$52,$H$56,$H$60,$H$64)</f>
        <v>0.98115251355574673</v>
      </c>
      <c r="J20" s="175">
        <f>Table3[[#This Row],[Seasonality]]*4/SUM($I$2:$I$5)</f>
        <v>1.089389753099089</v>
      </c>
      <c r="K20" s="175">
        <f>Table3[[#This Row],[Sales]]/(Table3[[#This Row],[Trend]]* Table3[[#This Row],[Seasonality correction ]])</f>
        <v>0.77331885034571413</v>
      </c>
      <c r="L20" s="175">
        <f t="shared" si="1"/>
        <v>0.82255004358260153</v>
      </c>
      <c r="M20" s="175">
        <f>Table3[[#This Row],[CI]]/Table3[[#This Row],[C]]</f>
        <v>0.94014808749816381</v>
      </c>
      <c r="N20" s="175">
        <f>Table3[[#This Row],[Trend]]*Table3[[#This Row],[Seasonality correction ]] *1*1</f>
        <v>598.97673487840791</v>
      </c>
      <c r="O20" s="175">
        <f>Table3[[#This Row],[Sales]]-Table3[[#This Row],[Multidecomp fit]]</f>
        <v>-135.77673487840792</v>
      </c>
    </row>
    <row r="21" spans="1:15" x14ac:dyDescent="0.3">
      <c r="A21" s="175">
        <v>20</v>
      </c>
      <c r="B21" s="388">
        <f>Table3[[#This Row],[Time ]]^2</f>
        <v>400</v>
      </c>
      <c r="C21" s="388"/>
      <c r="D21" s="388">
        <v>4</v>
      </c>
      <c r="E21" s="388">
        <v>426.5</v>
      </c>
      <c r="F21" s="175">
        <f>$C$67+$B$67*Table3[[#This Row],[Time ]]</f>
        <v>594.79144265232969</v>
      </c>
      <c r="G21" s="175">
        <f>$D$68+$C$68*Table3[ [#This Row],[Time ] ]+$B$68*Table3[[#This Row],[Time^2]]</f>
        <v>439.6527842750412</v>
      </c>
      <c r="H21" s="175">
        <f>Table3[[#This Row],[Sales]]/Table3[[#This Row],[Trend]]</f>
        <v>0.71705806340811762</v>
      </c>
      <c r="I21" s="387">
        <f>MEDIAN($H$5,$H$9,$H$13,$H$17,$H$21,$H$25,$H$29,$H$37,$H$41,$H$45,$H$49,$H$53,$H$57,$H$61,$H$65)</f>
        <v>0.86221150412039504</v>
      </c>
      <c r="J21" s="175">
        <f>Table3[[#This Row],[Seasonality]]*4/SUM($I$2:$I$5)</f>
        <v>0.95732759649047516</v>
      </c>
      <c r="K21" s="175">
        <f>Table3[[#This Row],[Sales]]/(Table3[[#This Row],[Trend]]* Table3[[#This Row],[Seasonality correction ]])</f>
        <v>0.74902057147085688</v>
      </c>
      <c r="L21" s="175">
        <f t="shared" si="1"/>
        <v>0.75754532147396947</v>
      </c>
      <c r="M21" s="175">
        <f>Table3[[#This Row],[CI]]/Table3[[#This Row],[C]]</f>
        <v>0.98874687789434723</v>
      </c>
      <c r="N21" s="175">
        <f>Table3[[#This Row],[Trend]]*Table3[[#This Row],[Seasonality correction ]] *1*1</f>
        <v>569.41026220745709</v>
      </c>
      <c r="O21" s="175">
        <f>Table3[[#This Row],[Sales]]-Table3[[#This Row],[Multidecomp fit]]</f>
        <v>-142.91026220745709</v>
      </c>
    </row>
    <row r="22" spans="1:15" x14ac:dyDescent="0.3">
      <c r="A22" s="175">
        <v>21</v>
      </c>
      <c r="B22" s="388">
        <f>Table3[[#This Row],[Time ]]^2</f>
        <v>441</v>
      </c>
      <c r="C22" s="388">
        <v>1985</v>
      </c>
      <c r="D22" s="388">
        <v>1</v>
      </c>
      <c r="E22" s="388">
        <v>451.5</v>
      </c>
      <c r="F22" s="175">
        <f>$C$67+$B$67*Table3[[#This Row],[Time ]]</f>
        <v>639.75511872759853</v>
      </c>
      <c r="G22" s="175">
        <f>$D$68+$C$68*Table3[ [#This Row],[Time ] ]+$B$68*Table3[[#This Row],[Time^2]]</f>
        <v>465.50116137167981</v>
      </c>
      <c r="H22" s="175">
        <f>Table3[[#This Row],[Sales]]/Table3[[#This Row],[Trend]]</f>
        <v>0.70573878470559648</v>
      </c>
      <c r="I22" s="387">
        <f t="shared" si="2"/>
        <v>0.84715772398012901</v>
      </c>
      <c r="J22" s="175">
        <f>Table3[[#This Row],[Seasonality]]*4/SUM($I$2:$I$5)</f>
        <v>0.94061313711373673</v>
      </c>
      <c r="K22" s="175">
        <f>Table3[[#This Row],[Sales]]/(Table3[[#This Row],[Trend]]* Table3[[#This Row],[Seasonality correction ]])</f>
        <v>0.75029654260533707</v>
      </c>
      <c r="L22" s="175">
        <f t="shared" si="1"/>
        <v>0.76268211644449257</v>
      </c>
      <c r="M22" s="175">
        <f>Table3[[#This Row],[CI]]/Table3[[#This Row],[C]]</f>
        <v>0.98376050313478547</v>
      </c>
      <c r="N22" s="175">
        <f>Table3[[#This Row],[Trend]]*Table3[[#This Row],[Seasonality correction ]] *1*1</f>
        <v>601.76206921093751</v>
      </c>
      <c r="O22" s="175">
        <f>Table3[[#This Row],[Sales]]-Table3[[#This Row],[Multidecomp fit]]</f>
        <v>-150.26206921093751</v>
      </c>
    </row>
    <row r="23" spans="1:15" x14ac:dyDescent="0.3">
      <c r="A23" s="175">
        <v>22</v>
      </c>
      <c r="B23" s="388">
        <f>Table3[[#This Row],[Time ]]^2</f>
        <v>484</v>
      </c>
      <c r="C23" s="388"/>
      <c r="D23" s="388">
        <v>2</v>
      </c>
      <c r="E23" s="388">
        <v>546.9</v>
      </c>
      <c r="F23" s="175">
        <f>$C$67+$B$67*Table3[[#This Row],[Time ]]</f>
        <v>684.71879480286736</v>
      </c>
      <c r="G23" s="175">
        <f>$D$68+$C$68*Table3[ [#This Row],[Time ] ]+$B$68*Table3[[#This Row],[Time^2]]</f>
        <v>493.01173837950364</v>
      </c>
      <c r="H23" s="175">
        <f>Table3[[#This Row],[Sales]]/Table3[[#This Row],[Trend]]</f>
        <v>0.79872205079087122</v>
      </c>
      <c r="I23" s="387">
        <f>MEDIAN($H$3,$H$7,$H$11,$H$15,$H$19,$H$23,$H$27,$H$35,$H$39,$H$43,$H$47,$H$51,$H$55,$H$59,$H$63)</f>
        <v>0.91205487801385277</v>
      </c>
      <c r="J23" s="175">
        <f>Table3[[#This Row],[Seasonality]]*4/SUM($I$2:$I$5)</f>
        <v>1.012669513296699</v>
      </c>
      <c r="K23" s="175">
        <f>Table3[[#This Row],[Sales]]/(Table3[[#This Row],[Trend]]* Table3[[#This Row],[Seasonality correction ]])</f>
        <v>0.78872923525728389</v>
      </c>
      <c r="L23" s="175">
        <f t="shared" si="1"/>
        <v>0.76058422372965351</v>
      </c>
      <c r="M23" s="175">
        <f>Table3[[#This Row],[CI]]/Table3[[#This Row],[C]]</f>
        <v>1.0370044640021805</v>
      </c>
      <c r="N23" s="175">
        <f>Table3[[#This Row],[Trend]]*Table3[[#This Row],[Seasonality correction ]] *1*1</f>
        <v>693.39384867812203</v>
      </c>
      <c r="O23" s="175">
        <f>Table3[[#This Row],[Sales]]-Table3[[#This Row],[Multidecomp fit]]</f>
        <v>-146.49384867812205</v>
      </c>
    </row>
    <row r="24" spans="1:15" x14ac:dyDescent="0.3">
      <c r="A24" s="175">
        <v>23</v>
      </c>
      <c r="B24" s="388">
        <f>Table3[[#This Row],[Time ]]^2</f>
        <v>529</v>
      </c>
      <c r="C24" s="388"/>
      <c r="D24" s="388">
        <v>3</v>
      </c>
      <c r="E24" s="388">
        <v>590.4</v>
      </c>
      <c r="F24" s="175">
        <f>$C$67+$B$67*Table3[[#This Row],[Time ]]</f>
        <v>729.6824708781362</v>
      </c>
      <c r="G24" s="175">
        <f>$D$68+$C$68*Table3[ [#This Row],[Time ] ]+$B$68*Table3[[#This Row],[Time^2]]</f>
        <v>522.18451529851268</v>
      </c>
      <c r="H24" s="175">
        <f>Table3[[#This Row],[Sales]]/Table3[[#This Row],[Trend]]</f>
        <v>0.80911906694083424</v>
      </c>
      <c r="I24" s="387">
        <f>MEDIAN($H$4,$H$8,$H$12,$H$16,$H$20,$H$24,$H$28,$H$36,$H$40,$H$44,$H$48,$H$52,$H$56,$H$60,$H$64)</f>
        <v>0.98115251355574673</v>
      </c>
      <c r="J24" s="175">
        <f>Table3[[#This Row],[Seasonality]]*4/SUM($I$2:$I$5)</f>
        <v>1.089389753099089</v>
      </c>
      <c r="K24" s="175">
        <f>Table3[[#This Row],[Sales]]/(Table3[[#This Row],[Trend]]* Table3[[#This Row],[Seasonality correction ]])</f>
        <v>0.74272689332633934</v>
      </c>
      <c r="L24" s="175">
        <f t="shared" si="1"/>
        <v>0.73711550375788504</v>
      </c>
      <c r="M24" s="175">
        <f>Table3[[#This Row],[CI]]/Table3[[#This Row],[C]]</f>
        <v>1.0076126326740475</v>
      </c>
      <c r="N24" s="175">
        <f>Table3[[#This Row],[Trend]]*Table3[[#This Row],[Seasonality correction ]] *1*1</f>
        <v>794.908606790666</v>
      </c>
      <c r="O24" s="175">
        <f>Table3[[#This Row],[Sales]]-Table3[[#This Row],[Multidecomp fit]]</f>
        <v>-204.50860679066602</v>
      </c>
    </row>
    <row r="25" spans="1:15" x14ac:dyDescent="0.3">
      <c r="A25" s="175">
        <v>24</v>
      </c>
      <c r="B25" s="388">
        <f>Table3[[#This Row],[Time ]]^2</f>
        <v>576</v>
      </c>
      <c r="C25" s="388"/>
      <c r="D25" s="388">
        <v>4</v>
      </c>
      <c r="E25" s="388">
        <v>504.2</v>
      </c>
      <c r="F25" s="175">
        <f>$C$67+$B$67*Table3[[#This Row],[Time ]]</f>
        <v>774.64614695340492</v>
      </c>
      <c r="G25" s="175">
        <f>$D$68+$C$68*Table3[ [#This Row],[Time ] ]+$B$68*Table3[[#This Row],[Time^2]]</f>
        <v>553.01949212870704</v>
      </c>
      <c r="H25" s="175">
        <f>Table3[[#This Row],[Sales]]/Table3[[#This Row],[Trend]]</f>
        <v>0.65087782593763766</v>
      </c>
      <c r="I25" s="387">
        <f>MEDIAN($H$5,$H$9,$H$13,$H$17,$H$21,$H$25,$H$29,$H$37,$H$41,$H$45,$H$49,$H$53,$H$57,$H$61,$H$65)</f>
        <v>0.86221150412039504</v>
      </c>
      <c r="J25" s="175">
        <f>Table3[[#This Row],[Seasonality]]*4/SUM($I$2:$I$5)</f>
        <v>0.95732759649047516</v>
      </c>
      <c r="K25" s="175">
        <f>Table3[[#This Row],[Sales]]/(Table3[[#This Row],[Trend]]* Table3[[#This Row],[Seasonality correction ]])</f>
        <v>0.67989038269003199</v>
      </c>
      <c r="L25" s="175">
        <f t="shared" si="1"/>
        <v>0.73034469418157133</v>
      </c>
      <c r="M25" s="175">
        <f>Table3[[#This Row],[CI]]/Table3[[#This Row],[C]]</f>
        <v>0.93091712462143816</v>
      </c>
      <c r="N25" s="175">
        <f>Table3[[#This Row],[Trend]]*Table3[[#This Row],[Seasonality correction ]] *1*1</f>
        <v>741.59013399351056</v>
      </c>
      <c r="O25" s="175">
        <f>Table3[[#This Row],[Sales]]-Table3[[#This Row],[Multidecomp fit]]</f>
        <v>-237.39013399351057</v>
      </c>
    </row>
    <row r="26" spans="1:15" x14ac:dyDescent="0.3">
      <c r="A26" s="175">
        <v>25</v>
      </c>
      <c r="B26" s="388">
        <f>Table3[[#This Row],[Time ]]^2</f>
        <v>625</v>
      </c>
      <c r="C26" s="388">
        <v>1986</v>
      </c>
      <c r="D26" s="388">
        <v>1</v>
      </c>
      <c r="E26" s="388">
        <v>592.4</v>
      </c>
      <c r="F26" s="175">
        <f>$C$67+$B$67*Table3[[#This Row],[Time ]]</f>
        <v>819.60982302867387</v>
      </c>
      <c r="G26" s="175">
        <f>$D$68+$C$68*Table3[ [#This Row],[Time ] ]+$B$68*Table3[[#This Row],[Time^2]]</f>
        <v>585.51666887008662</v>
      </c>
      <c r="H26" s="175">
        <f>Table3[[#This Row],[Sales]]/Table3[[#This Row],[Trend]]</f>
        <v>0.7227829429995436</v>
      </c>
      <c r="I26" s="387">
        <f t="shared" si="2"/>
        <v>0.84715772398012901</v>
      </c>
      <c r="J26" s="175">
        <f>Table3[[#This Row],[Seasonality]]*4/SUM($I$2:$I$5)</f>
        <v>0.94061313711373673</v>
      </c>
      <c r="K26" s="175">
        <f>Table3[[#This Row],[Sales]]/(Table3[[#This Row],[Trend]]* Table3[[#This Row],[Seasonality correction ]])</f>
        <v>0.76841680652834254</v>
      </c>
      <c r="L26" s="175">
        <f t="shared" si="1"/>
        <v>0.72943948132101255</v>
      </c>
      <c r="M26" s="175">
        <f>Table3[[#This Row],[CI]]/Table3[[#This Row],[C]]</f>
        <v>1.0534346250860211</v>
      </c>
      <c r="N26" s="175">
        <f>Table3[[#This Row],[Trend]]*Table3[[#This Row],[Seasonality correction ]] *1*1</f>
        <v>770.93576684823552</v>
      </c>
      <c r="O26" s="175">
        <f>Table3[[#This Row],[Sales]]-Table3[[#This Row],[Multidecomp fit]]</f>
        <v>-178.53576684823554</v>
      </c>
    </row>
    <row r="27" spans="1:15" x14ac:dyDescent="0.3">
      <c r="A27" s="175">
        <v>26</v>
      </c>
      <c r="B27" s="388">
        <f>Table3[[#This Row],[Time ]]^2</f>
        <v>676</v>
      </c>
      <c r="C27" s="388"/>
      <c r="D27" s="388">
        <v>2</v>
      </c>
      <c r="E27" s="388">
        <v>647.9</v>
      </c>
      <c r="F27" s="175">
        <f>$C$67+$B$67*Table3[[#This Row],[Time ]]</f>
        <v>864.57349910394259</v>
      </c>
      <c r="G27" s="175">
        <f>$D$68+$C$68*Table3[ [#This Row],[Time ] ]+$B$68*Table3[[#This Row],[Time^2]]</f>
        <v>619.67604552265141</v>
      </c>
      <c r="H27" s="175">
        <f>Table3[[#This Row],[Sales]]/Table3[[#This Row],[Trend]]</f>
        <v>0.74938683717635757</v>
      </c>
      <c r="I27" s="387">
        <f>MEDIAN($H$3,$H$7,$H$11,$H$15,$H$19,$H$23,$H$27,$H$35,$H$39,$H$43,$H$47,$H$51,$H$55,$H$59,$H$63)</f>
        <v>0.91205487801385277</v>
      </c>
      <c r="J27" s="175">
        <f>Table3[[#This Row],[Seasonality]]*4/SUM($I$2:$I$5)</f>
        <v>1.012669513296699</v>
      </c>
      <c r="K27" s="175">
        <f>Table3[[#This Row],[Sales]]/(Table3[[#This Row],[Trend]]* Table3[[#This Row],[Seasonality correction ]])</f>
        <v>0.74001125474466323</v>
      </c>
      <c r="L27" s="175">
        <f t="shared" si="1"/>
        <v>0.74718101452217622</v>
      </c>
      <c r="M27" s="175">
        <f>Table3[[#This Row],[CI]]/Table3[[#This Row],[C]]</f>
        <v>0.99040425326907156</v>
      </c>
      <c r="N27" s="175">
        <f>Table3[[#This Row],[Trend]]*Table3[[#This Row],[Seasonality correction ]] *1*1</f>
        <v>875.5272245468135</v>
      </c>
      <c r="O27" s="175">
        <f>Table3[[#This Row],[Sales]]-Table3[[#This Row],[Multidecomp fit]]</f>
        <v>-227.62722454681352</v>
      </c>
    </row>
    <row r="28" spans="1:15" x14ac:dyDescent="0.3">
      <c r="A28" s="175">
        <v>27</v>
      </c>
      <c r="B28" s="388">
        <f>Table3[[#This Row],[Time ]]^2</f>
        <v>729</v>
      </c>
      <c r="C28" s="388"/>
      <c r="D28" s="388">
        <v>3</v>
      </c>
      <c r="E28" s="388">
        <v>726.4</v>
      </c>
      <c r="F28" s="175">
        <f>$C$67+$B$67*Table3[[#This Row],[Time ]]</f>
        <v>909.53717517921154</v>
      </c>
      <c r="G28" s="175">
        <f>$D$68+$C$68*Table3[ [#This Row],[Time ] ]+$B$68*Table3[[#This Row],[Time^2]]</f>
        <v>655.49762208640141</v>
      </c>
      <c r="H28" s="175">
        <f>Table3[[#This Row],[Sales]]/Table3[[#This Row],[Trend]]</f>
        <v>0.79864794955398388</v>
      </c>
      <c r="I28" s="387">
        <f>MEDIAN($H$4,$H$8,$H$12,$H$16,$H$20,$H$24,$H$28,$H$36,$H$40,$H$44,$H$48,$H$52,$H$56,$H$60,$H$64)</f>
        <v>0.98115251355574673</v>
      </c>
      <c r="J28" s="175">
        <f>Table3[[#This Row],[Seasonality]]*4/SUM($I$2:$I$5)</f>
        <v>1.089389753099089</v>
      </c>
      <c r="K28" s="175">
        <f>Table3[[#This Row],[Sales]]/(Table3[[#This Row],[Trend]]* Table3[[#This Row],[Seasonality correction ]])</f>
        <v>0.7331149822935229</v>
      </c>
      <c r="L28" s="175">
        <f t="shared" si="1"/>
        <v>0.76664024019168631</v>
      </c>
      <c r="M28" s="175">
        <f>Table3[[#This Row],[CI]]/Table3[[#This Row],[C]]</f>
        <v>0.95626989539476703</v>
      </c>
      <c r="N28" s="175">
        <f>Table3[[#This Row],[Trend]]*Table3[[#This Row],[Seasonality correction ]] *1*1</f>
        <v>990.8404787029242</v>
      </c>
      <c r="O28" s="175">
        <f>Table3[[#This Row],[Sales]]-Table3[[#This Row],[Multidecomp fit]]</f>
        <v>-264.44047870292422</v>
      </c>
    </row>
    <row r="29" spans="1:15" x14ac:dyDescent="0.3">
      <c r="A29" s="175">
        <v>28</v>
      </c>
      <c r="B29" s="388">
        <f>Table3[[#This Row],[Time ]]^2</f>
        <v>784</v>
      </c>
      <c r="C29" s="388"/>
      <c r="D29" s="388">
        <v>4</v>
      </c>
      <c r="E29" s="388">
        <v>755.5</v>
      </c>
      <c r="F29" s="175">
        <f>$C$67+$B$67*Table3[[#This Row],[Time ]]</f>
        <v>954.50085125448027</v>
      </c>
      <c r="G29" s="175">
        <f>$D$68+$C$68*Table3[ [#This Row],[Time ] ]+$B$68*Table3[[#This Row],[Time^2]]</f>
        <v>692.98139856133673</v>
      </c>
      <c r="H29" s="175">
        <f>Table3[[#This Row],[Sales]]/Table3[[#This Row],[Trend]]</f>
        <v>0.79151317571593816</v>
      </c>
      <c r="I29" s="387">
        <f>MEDIAN($H$5,$H$9,$H$13,$H$17,$H$21,$H$25,$H$29,$H$37,$H$41,$H$45,$H$49,$H$53,$H$57,$H$61,$H$65)</f>
        <v>0.86221150412039504</v>
      </c>
      <c r="J29" s="175">
        <f>Table3[[#This Row],[Seasonality]]*4/SUM($I$2:$I$5)</f>
        <v>0.95732759649047516</v>
      </c>
      <c r="K29" s="175">
        <f>Table3[[#This Row],[Sales]]/(Table3[[#This Row],[Trend]]* Table3[[#This Row],[Seasonality correction ]])</f>
        <v>0.82679448353687279</v>
      </c>
      <c r="L29" s="175">
        <f t="shared" si="1"/>
        <v>0.79171122687280349</v>
      </c>
      <c r="M29" s="175">
        <f>Table3[[#This Row],[CI]]/Table3[[#This Row],[C]]</f>
        <v>1.0443131983900815</v>
      </c>
      <c r="N29" s="175">
        <f>Table3[[#This Row],[Trend]]*Table3[[#This Row],[Seasonality correction ]] *1*1</f>
        <v>913.77000577956414</v>
      </c>
      <c r="O29" s="175">
        <f>Table3[[#This Row],[Sales]]-Table3[[#This Row],[Multidecomp fit]]</f>
        <v>-158.27000577956414</v>
      </c>
    </row>
    <row r="30" spans="1:15" x14ac:dyDescent="0.3">
      <c r="A30" s="175">
        <v>29</v>
      </c>
      <c r="B30" s="388">
        <f>Table3[[#This Row],[Time ]]^2</f>
        <v>841</v>
      </c>
      <c r="C30" s="388">
        <v>1987</v>
      </c>
      <c r="D30" s="175">
        <v>1</v>
      </c>
      <c r="E30" s="388">
        <v>766.4</v>
      </c>
      <c r="F30" s="175">
        <f>$C$67+$B$67*Table3[[#This Row],[Time ]]</f>
        <v>999.46452732974922</v>
      </c>
      <c r="G30" s="175">
        <f>$D$68+$C$68*Table3[ [#This Row],[Time ] ]+$B$68*Table3[[#This Row],[Time^2]]</f>
        <v>732.12737494745716</v>
      </c>
      <c r="H30" s="175">
        <f>Table3[[#This Row],[Sales]]/Table3[[#This Row],[Trend]]</f>
        <v>0.76681060612283725</v>
      </c>
      <c r="I30" s="387">
        <f t="shared" si="2"/>
        <v>0.84715772398012901</v>
      </c>
      <c r="J30" s="175">
        <f>Table3[[#This Row],[Seasonality]]*4/SUM($I$2:$I$5)</f>
        <v>0.94061313711373673</v>
      </c>
      <c r="K30" s="175">
        <f>Table3[[#This Row],[Sales]]/(Table3[[#This Row],[Trend]]* Table3[[#This Row],[Seasonality correction ]])</f>
        <v>0.81522421478801466</v>
      </c>
      <c r="L30" s="175">
        <f t="shared" si="1"/>
        <v>0.80558245917440041</v>
      </c>
      <c r="M30" s="175">
        <f>Table3[[#This Row],[CI]]/Table3[[#This Row],[C]]</f>
        <v>1.0119686762091313</v>
      </c>
      <c r="N30" s="175">
        <f>Table3[[#This Row],[Trend]]*Table3[[#This Row],[Seasonality correction ]] *1*1</f>
        <v>940.10946448553352</v>
      </c>
      <c r="O30" s="175">
        <f>Table3[[#This Row],[Sales]]-Table3[[#This Row],[Multidecomp fit]]</f>
        <v>-173.70946448553354</v>
      </c>
    </row>
    <row r="31" spans="1:15" x14ac:dyDescent="0.3">
      <c r="A31" s="175">
        <v>30</v>
      </c>
      <c r="B31" s="388">
        <f>Table3[[#This Row],[Time ]]^2</f>
        <v>900</v>
      </c>
      <c r="C31" s="388"/>
      <c r="D31" s="388">
        <v>2</v>
      </c>
      <c r="E31" s="388">
        <v>819.4</v>
      </c>
      <c r="F31" s="175">
        <f>$C$67+$B$67*Table3[[#This Row],[Time ]]</f>
        <v>1044.4282034050179</v>
      </c>
      <c r="G31" s="175">
        <f>$D$68+$C$68*Table3[ [#This Row],[Time ] ]+$B$68*Table3[[#This Row],[Time^2]]</f>
        <v>772.93555124476279</v>
      </c>
      <c r="H31" s="175">
        <f>Table3[[#This Row],[Sales]]/Table3[[#This Row],[Trend]]</f>
        <v>0.7845441145007509</v>
      </c>
      <c r="I31" s="387">
        <f>MEDIAN($H$3,$H$7,$H$11,$H$15,$H$19,$H$23,$H$27,$H$35,$H$39,$H$43,$H$47,$H$51,$H$55,$H$59,$H$63)</f>
        <v>0.91205487801385277</v>
      </c>
      <c r="J31" s="175">
        <f>Table3[[#This Row],[Seasonality]]*4/SUM($I$2:$I$5)</f>
        <v>1.012669513296699</v>
      </c>
      <c r="K31" s="175">
        <f>Table3[[#This Row],[Sales]]/(Table3[[#This Row],[Trend]]* Table3[[#This Row],[Seasonality correction ]])</f>
        <v>0.77472867919831379</v>
      </c>
      <c r="L31" s="175">
        <f t="shared" si="1"/>
        <v>0.70696291838920178</v>
      </c>
      <c r="M31" s="175">
        <f>Table3[[#This Row],[CI]]/Table3[[#This Row],[C]]</f>
        <v>1.0958547599123227</v>
      </c>
      <c r="N31" s="175">
        <f>Table3[[#This Row],[Trend]]*Table3[[#This Row],[Seasonality correction ]] *1*1</f>
        <v>1057.6606004155053</v>
      </c>
      <c r="O31" s="175">
        <f>Table3[[#This Row],[Sales]]-Table3[[#This Row],[Multidecomp fit]]</f>
        <v>-238.26060041550534</v>
      </c>
    </row>
    <row r="32" spans="1:15" x14ac:dyDescent="0.3">
      <c r="A32" s="175">
        <v>31</v>
      </c>
      <c r="B32" s="388">
        <f>Table3[[#This Row],[Time ]]^2</f>
        <v>961</v>
      </c>
      <c r="C32" s="388"/>
      <c r="D32" s="388">
        <v>3</v>
      </c>
      <c r="E32" s="388">
        <v>630.1</v>
      </c>
      <c r="F32" s="175">
        <f>$C$67+$B$67*Table3[[#This Row],[Time ]]</f>
        <v>1089.3918794802869</v>
      </c>
      <c r="G32" s="175">
        <f>$D$68+$C$68*Table3[ [#This Row],[Time ] ]+$B$68*Table3[[#This Row],[Time^2]]</f>
        <v>815.40592745325387</v>
      </c>
      <c r="H32" s="175">
        <f>Table3[[#This Row],[Sales]]/Table3[[#This Row],[Trend]]</f>
        <v>0.57839608672372333</v>
      </c>
      <c r="I32" s="387">
        <f>MEDIAN($H$4,$H$8,$H$12,$H$16,$H$20,$H$24,$H$28,$H$36,$H$40,$H$44,$H$48,$H$52,$H$56,$H$60,$H$64)</f>
        <v>0.98115251355574673</v>
      </c>
      <c r="J32" s="175">
        <f>Table3[[#This Row],[Seasonality]]*4/SUM($I$2:$I$5)</f>
        <v>1.089389753099089</v>
      </c>
      <c r="K32" s="175">
        <f>Table3[[#This Row],[Sales]]/(Table3[[#This Row],[Trend]]* Table3[[#This Row],[Seasonality correction ]])</f>
        <v>0.53093586118127689</v>
      </c>
      <c r="L32" s="175">
        <f t="shared" si="1"/>
        <v>0.66070767237503025</v>
      </c>
      <c r="M32" s="175">
        <f>Table3[[#This Row],[CI]]/Table3[[#This Row],[C]]</f>
        <v>0.80358664410954139</v>
      </c>
      <c r="N32" s="175">
        <f>Table3[[#This Row],[Trend]]*Table3[[#This Row],[Seasonality correction ]] *1*1</f>
        <v>1186.7723506151822</v>
      </c>
      <c r="O32" s="175">
        <f>Table3[[#This Row],[Sales]]-Table3[[#This Row],[Multidecomp fit]]</f>
        <v>-556.67235061518215</v>
      </c>
    </row>
    <row r="33" spans="1:15" x14ac:dyDescent="0.3">
      <c r="A33" s="175">
        <v>32</v>
      </c>
      <c r="B33" s="388">
        <f>Table3[[#This Row],[Time ]]^2</f>
        <v>1024</v>
      </c>
      <c r="C33" s="388"/>
      <c r="D33" s="388">
        <v>4</v>
      </c>
      <c r="E33" s="388">
        <v>734.6</v>
      </c>
      <c r="F33" s="175">
        <f>$C$67+$B$67*Table3[[#This Row],[Time ]]</f>
        <v>1134.3555555555556</v>
      </c>
      <c r="G33" s="175">
        <f>$D$68+$C$68*Table3[ [#This Row],[Time ] ]+$B$68*Table3[[#This Row],[Time^2]]</f>
        <v>859.53850357293004</v>
      </c>
      <c r="H33" s="175">
        <f>Table3[[#This Row],[Sales]]/Table3[[#This Row],[Trend]]</f>
        <v>0.64759236766837758</v>
      </c>
      <c r="I33" s="387">
        <f>MEDIAN($H$5,$H$9,$H$13,$H$17,$H$21,$H$25,$H$29,$H$37,$H$41,$H$45,$H$49,$H$53,$H$57,$H$61,$H$65)</f>
        <v>0.86221150412039504</v>
      </c>
      <c r="J33" s="175">
        <f>Table3[[#This Row],[Seasonality]]*4/SUM($I$2:$I$5)</f>
        <v>0.95732759649047516</v>
      </c>
      <c r="K33" s="175">
        <f>Table3[[#This Row],[Sales]]/(Table3[[#This Row],[Trend]]* Table3[[#This Row],[Seasonality correction ]])</f>
        <v>0.67645847674550008</v>
      </c>
      <c r="L33" s="175">
        <f t="shared" si="1"/>
        <v>0.63519766076059581</v>
      </c>
      <c r="M33" s="175">
        <f>Table3[[#This Row],[CI]]/Table3[[#This Row],[C]]</f>
        <v>1.0649574432240476</v>
      </c>
      <c r="N33" s="175">
        <f>Table3[[#This Row],[Trend]]*Table3[[#This Row],[Seasonality correction ]] *1*1</f>
        <v>1085.9498775656177</v>
      </c>
      <c r="O33" s="175">
        <f>Table3[[#This Row],[Sales]]-Table3[[#This Row],[Multidecomp fit]]</f>
        <v>-351.3498775656177</v>
      </c>
    </row>
    <row r="34" spans="1:15" x14ac:dyDescent="0.3">
      <c r="A34" s="175">
        <v>33</v>
      </c>
      <c r="B34" s="388">
        <f>Table3[[#This Row],[Time ]]^2</f>
        <v>1089</v>
      </c>
      <c r="C34" s="388">
        <v>1988</v>
      </c>
      <c r="D34" s="388">
        <v>1</v>
      </c>
      <c r="E34" s="388">
        <v>774.5</v>
      </c>
      <c r="F34" s="175">
        <f>$C$67+$B$67*Table3[[#This Row],[Time ]]</f>
        <v>1179.3192316308243</v>
      </c>
      <c r="G34" s="175">
        <f>$D$68+$C$68*Table3[ [#This Row],[Time ] ]+$B$68*Table3[[#This Row],[Time^2]]</f>
        <v>905.33327960379142</v>
      </c>
      <c r="H34" s="175">
        <f>Table3[[#This Row],[Sales]]/Table3[[#This Row],[Trend]]</f>
        <v>0.65673481719532456</v>
      </c>
      <c r="I34" s="387">
        <f t="shared" si="2"/>
        <v>0.84715772398012901</v>
      </c>
      <c r="J34" s="175">
        <f>Table3[[#This Row],[Seasonality]]*4/SUM($I$2:$I$5)</f>
        <v>0.94061313711373673</v>
      </c>
      <c r="K34" s="175">
        <f>Table3[[#This Row],[Sales]]/(Table3[[#This Row],[Trend]]* Table3[[#This Row],[Seasonality correction ]])</f>
        <v>0.69819864435501033</v>
      </c>
      <c r="L34" s="175">
        <f t="shared" si="1"/>
        <v>0.70441585949331154</v>
      </c>
      <c r="M34" s="175">
        <f>Table3[[#This Row],[CI]]/Table3[[#This Row],[C]]</f>
        <v>0.99117394213302745</v>
      </c>
      <c r="N34" s="175">
        <f>Table3[[#This Row],[Trend]]*Table3[[#This Row],[Seasonality correction ]] *1*1</f>
        <v>1109.2831621228313</v>
      </c>
      <c r="O34" s="175">
        <f>Table3[[#This Row],[Sales]]-Table3[[#This Row],[Multidecomp fit]]</f>
        <v>-334.7831621228313</v>
      </c>
    </row>
    <row r="35" spans="1:15" x14ac:dyDescent="0.3">
      <c r="A35" s="175">
        <v>34</v>
      </c>
      <c r="B35" s="388">
        <f>Table3[[#This Row],[Time ]]^2</f>
        <v>1156</v>
      </c>
      <c r="C35" s="388"/>
      <c r="D35" s="388">
        <v>2</v>
      </c>
      <c r="E35" s="388">
        <v>915.7</v>
      </c>
      <c r="F35" s="175">
        <f>$C$67+$B$67*Table3[[#This Row],[Time ]]</f>
        <v>1224.2829077060933</v>
      </c>
      <c r="G35" s="175">
        <f>$D$68+$C$68*Table3[ [#This Row],[Time ] ]+$B$68*Table3[[#This Row],[Time^2]]</f>
        <v>952.79025554583814</v>
      </c>
      <c r="H35" s="175">
        <f>Table3[[#This Row],[Sales]]/Table3[[#This Row],[Trend]]</f>
        <v>0.74794803900000784</v>
      </c>
      <c r="I35" s="387">
        <f>MEDIAN($H$3,$H$7,$H$11,$H$15,$H$19,$H$23,$H$27,$H$35,$H$39,$H$43,$H$47,$H$51,$H$55,$H$59,$H$63)</f>
        <v>0.91205487801385277</v>
      </c>
      <c r="J35" s="175">
        <f>Table3[[#This Row],[Seasonality]]*4/SUM($I$2:$I$5)</f>
        <v>1.012669513296699</v>
      </c>
      <c r="K35" s="175">
        <f>Table3[[#This Row],[Sales]]/(Table3[[#This Row],[Trend]]* Table3[[#This Row],[Seasonality correction ]])</f>
        <v>0.73859045737942419</v>
      </c>
      <c r="L35" s="175">
        <f t="shared" si="1"/>
        <v>0.72323357590915138</v>
      </c>
      <c r="M35" s="175">
        <f>Table3[[#This Row],[CI]]/Table3[[#This Row],[C]]</f>
        <v>1.0212336401154609</v>
      </c>
      <c r="N35" s="175">
        <f>Table3[[#This Row],[Trend]]*Table3[[#This Row],[Seasonality correction ]] *1*1</f>
        <v>1239.793976284197</v>
      </c>
      <c r="O35" s="175">
        <f>Table3[[#This Row],[Sales]]-Table3[[#This Row],[Multidecomp fit]]</f>
        <v>-324.09397628419697</v>
      </c>
    </row>
    <row r="36" spans="1:15" x14ac:dyDescent="0.3">
      <c r="A36" s="175">
        <v>35</v>
      </c>
      <c r="B36" s="388">
        <f>Table3[[#This Row],[Time ]]^2</f>
        <v>1225</v>
      </c>
      <c r="C36" s="388"/>
      <c r="D36" s="388">
        <v>3</v>
      </c>
      <c r="E36" s="388">
        <v>1013.4</v>
      </c>
      <c r="F36" s="175">
        <f>$C$67+$B$67*Table3[[#This Row],[Time ]]</f>
        <v>1269.246583781362</v>
      </c>
      <c r="G36" s="175">
        <f>$D$68+$C$68*Table3[ [#This Row],[Time ] ]+$B$68*Table3[[#This Row],[Time^2]]</f>
        <v>1001.9094313990701</v>
      </c>
      <c r="H36" s="175">
        <f>Table3[[#This Row],[Sales]]/Table3[[#This Row],[Trend]]</f>
        <v>0.79842641528398739</v>
      </c>
      <c r="I36" s="387">
        <f>MEDIAN($H$4,$H$8,$H$12,$H$16,$H$20,$H$24,$H$28,$H$36,$H$40,$H$44,$H$48,$H$52,$H$56,$H$60,$H$64)</f>
        <v>0.98115251355574673</v>
      </c>
      <c r="J36" s="175">
        <f>Table3[[#This Row],[Seasonality]]*4/SUM($I$2:$I$5)</f>
        <v>1.089389753099089</v>
      </c>
      <c r="K36" s="175">
        <f>Table3[[#This Row],[Sales]]/(Table3[[#This Row],[Trend]]* Table3[[#This Row],[Seasonality correction ]])</f>
        <v>0.73291162599301951</v>
      </c>
      <c r="L36" s="175">
        <f t="shared" si="1"/>
        <v>0.76699575933129605</v>
      </c>
      <c r="M36" s="175">
        <f>Table3[[#This Row],[CI]]/Table3[[#This Row],[C]]</f>
        <v>0.95556151005581469</v>
      </c>
      <c r="N36" s="175">
        <f>Table3[[#This Row],[Trend]]*Table3[[#This Row],[Seasonality correction ]] *1*1</f>
        <v>1382.7042225274402</v>
      </c>
      <c r="O36" s="175">
        <f>Table3[[#This Row],[Sales]]-Table3[[#This Row],[Multidecomp fit]]</f>
        <v>-369.30422252744017</v>
      </c>
    </row>
    <row r="37" spans="1:15" x14ac:dyDescent="0.3">
      <c r="A37" s="175">
        <v>36</v>
      </c>
      <c r="B37" s="388">
        <f>Table3[[#This Row],[Time ]]^2</f>
        <v>1296</v>
      </c>
      <c r="C37" s="388"/>
      <c r="D37" s="388">
        <v>4</v>
      </c>
      <c r="E37" s="388">
        <v>1043.5999999999999</v>
      </c>
      <c r="F37" s="175">
        <f>$C$67+$B$67*Table3[[#This Row],[Time ]]</f>
        <v>1314.210259856631</v>
      </c>
      <c r="G37" s="175">
        <f>$D$68+$C$68*Table3[ [#This Row],[Time ] ]+$B$68*Table3[[#This Row],[Time^2]]</f>
        <v>1052.6908071634871</v>
      </c>
      <c r="H37" s="175">
        <f>Table3[[#This Row],[Sales]]/Table3[[#This Row],[Trend]]</f>
        <v>0.79408906769138121</v>
      </c>
      <c r="I37" s="387">
        <f>MEDIAN($H$5,$H$9,$H$13,$H$17,$H$21,$H$25,$H$29,$H$37,$H$41,$H$45,$H$49,$H$53,$H$57,$H$61,$H$65)</f>
        <v>0.86221150412039504</v>
      </c>
      <c r="J37" s="175">
        <f>Table3[[#This Row],[Seasonality]]*4/SUM($I$2:$I$5)</f>
        <v>0.95732759649047516</v>
      </c>
      <c r="K37" s="175">
        <f>Table3[[#This Row],[Sales]]/(Table3[[#This Row],[Trend]]* Table3[[#This Row],[Seasonality correction ]])</f>
        <v>0.82948519462144421</v>
      </c>
      <c r="L37" s="175">
        <f t="shared" si="1"/>
        <v>0.79141164334411895</v>
      </c>
      <c r="M37" s="175">
        <f>Table3[[#This Row],[CI]]/Table3[[#This Row],[C]]</f>
        <v>1.0481084042641136</v>
      </c>
      <c r="N37" s="175">
        <f>Table3[[#This Row],[Trend]]*Table3[[#This Row],[Seasonality correction ]] *1*1</f>
        <v>1258.1297493516713</v>
      </c>
      <c r="O37" s="175">
        <f>Table3[[#This Row],[Sales]]-Table3[[#This Row],[Multidecomp fit]]</f>
        <v>-214.5297493516714</v>
      </c>
    </row>
    <row r="38" spans="1:15" x14ac:dyDescent="0.3">
      <c r="A38" s="175">
        <v>37</v>
      </c>
      <c r="B38" s="388">
        <f>Table3[[#This Row],[Time ]]^2</f>
        <v>1369</v>
      </c>
      <c r="C38" s="388">
        <v>1989</v>
      </c>
      <c r="D38" s="388">
        <v>1</v>
      </c>
      <c r="E38" s="388">
        <v>1037.9000000000001</v>
      </c>
      <c r="F38" s="175">
        <f>$C$67+$B$67*Table3[[#This Row],[Time ]]</f>
        <v>1359.1739359318997</v>
      </c>
      <c r="G38" s="175">
        <f>$D$68+$C$68*Table3[ [#This Row],[Time ] ]+$B$68*Table3[[#This Row],[Time^2]]</f>
        <v>1105.1343828390895</v>
      </c>
      <c r="H38" s="175">
        <f>Table3[[#This Row],[Sales]]/Table3[[#This Row],[Trend]]</f>
        <v>0.76362559092804971</v>
      </c>
      <c r="I38" s="387">
        <f t="shared" si="2"/>
        <v>0.84715772398012901</v>
      </c>
      <c r="J38" s="175">
        <f>Table3[[#This Row],[Seasonality]]*4/SUM($I$2:$I$5)</f>
        <v>0.94061313711373673</v>
      </c>
      <c r="K38" s="175">
        <f>Table3[[#This Row],[Sales]]/(Table3[[#This Row],[Trend]]* Table3[[#This Row],[Seasonality correction ]])</f>
        <v>0.81183810941789336</v>
      </c>
      <c r="L38" s="175">
        <f t="shared" si="1"/>
        <v>0.82082076707085372</v>
      </c>
      <c r="M38" s="175">
        <f>Table3[[#This Row],[CI]]/Table3[[#This Row],[C]]</f>
        <v>0.98905649319154598</v>
      </c>
      <c r="N38" s="175">
        <f>Table3[[#This Row],[Trend]]*Table3[[#This Row],[Seasonality correction ]] *1*1</f>
        <v>1278.4568597601292</v>
      </c>
      <c r="O38" s="175">
        <f>Table3[[#This Row],[Sales]]-Table3[[#This Row],[Multidecomp fit]]</f>
        <v>-240.5568597601291</v>
      </c>
    </row>
    <row r="39" spans="1:15" x14ac:dyDescent="0.3">
      <c r="A39" s="175">
        <v>38</v>
      </c>
      <c r="B39" s="388">
        <f>Table3[[#This Row],[Time ]]^2</f>
        <v>1444</v>
      </c>
      <c r="C39" s="388"/>
      <c r="D39" s="388">
        <v>2</v>
      </c>
      <c r="E39" s="388">
        <v>1167.5999999999999</v>
      </c>
      <c r="F39" s="175">
        <f>$C$67+$B$67*Table3[[#This Row],[Time ]]</f>
        <v>1404.1376120071686</v>
      </c>
      <c r="G39" s="175">
        <f>$D$68+$C$68*Table3[ [#This Row],[Time ] ]+$B$68*Table3[[#This Row],[Time^2]]</f>
        <v>1159.2401584258771</v>
      </c>
      <c r="H39" s="175">
        <f>Table3[[#This Row],[Sales]]/Table3[[#This Row],[Trend]]</f>
        <v>0.83154242861634764</v>
      </c>
      <c r="I39" s="387">
        <f>MEDIAN($H$3,$H$7,$H$11,$H$15,$H$19,$H$23,$H$27,$H$35,$H$39,$H$43,$H$47,$H$51,$H$55,$H$59,$H$63)</f>
        <v>0.91205487801385277</v>
      </c>
      <c r="J39" s="175">
        <f>Table3[[#This Row],[Seasonality]]*4/SUM($I$2:$I$5)</f>
        <v>1.012669513296699</v>
      </c>
      <c r="K39" s="175">
        <f>Table3[[#This Row],[Sales]]/(Table3[[#This Row],[Trend]]* Table3[[#This Row],[Seasonality correction ]])</f>
        <v>0.82113899717322347</v>
      </c>
      <c r="L39" s="175">
        <f t="shared" si="1"/>
        <v>0.82834724981394192</v>
      </c>
      <c r="M39" s="175">
        <f>Table3[[#This Row],[CI]]/Table3[[#This Row],[C]]</f>
        <v>0.99129803033409292</v>
      </c>
      <c r="N39" s="175">
        <f>Table3[[#This Row],[Trend]]*Table3[[#This Row],[Seasonality correction ]] *1*1</f>
        <v>1421.9273521528885</v>
      </c>
      <c r="O39" s="175">
        <f>Table3[[#This Row],[Sales]]-Table3[[#This Row],[Multidecomp fit]]</f>
        <v>-254.32735215288858</v>
      </c>
    </row>
    <row r="40" spans="1:15" x14ac:dyDescent="0.3">
      <c r="A40" s="175">
        <v>39</v>
      </c>
      <c r="B40" s="388">
        <f>Table3[[#This Row],[Time ]]^2</f>
        <v>1521</v>
      </c>
      <c r="C40" s="388"/>
      <c r="D40" s="388">
        <v>3</v>
      </c>
      <c r="E40" s="388">
        <v>1345.1</v>
      </c>
      <c r="F40" s="175">
        <f>$C$67+$B$67*Table3[[#This Row],[Time ]]</f>
        <v>1449.1012880824373</v>
      </c>
      <c r="G40" s="175">
        <f>$D$68+$C$68*Table3[ [#This Row],[Time ] ]+$B$68*Table3[[#This Row],[Time^2]]</f>
        <v>1215.00813392385</v>
      </c>
      <c r="H40" s="175">
        <f>Table3[[#This Row],[Sales]]/Table3[[#This Row],[Trend]]</f>
        <v>0.92823049089959753</v>
      </c>
      <c r="I40" s="387">
        <f>MEDIAN($H$4,$H$8,$H$12,$H$16,$H$20,$H$24,$H$28,$H$36,$H$40,$H$44,$H$48,$H$52,$H$56,$H$60,$H$64)</f>
        <v>0.98115251355574673</v>
      </c>
      <c r="J40" s="175">
        <f>Table3[[#This Row],[Seasonality]]*4/SUM($I$2:$I$5)</f>
        <v>1.089389753099089</v>
      </c>
      <c r="K40" s="175">
        <f>Table3[[#This Row],[Sales]]/(Table3[[#This Row],[Trend]]* Table3[[#This Row],[Seasonality correction ]])</f>
        <v>0.85206464285070915</v>
      </c>
      <c r="L40" s="175">
        <f t="shared" si="1"/>
        <v>0.85794926498048785</v>
      </c>
      <c r="M40" s="175">
        <f>Table3[[#This Row],[CI]]/Table3[[#This Row],[C]]</f>
        <v>0.9931410604682871</v>
      </c>
      <c r="N40" s="175">
        <f>Table3[[#This Row],[Trend]]*Table3[[#This Row],[Seasonality correction ]] *1*1</f>
        <v>1578.6360944396984</v>
      </c>
      <c r="O40" s="175">
        <f>Table3[[#This Row],[Sales]]-Table3[[#This Row],[Multidecomp fit]]</f>
        <v>-233.53609443969845</v>
      </c>
    </row>
    <row r="41" spans="1:15" x14ac:dyDescent="0.3">
      <c r="A41" s="175">
        <v>40</v>
      </c>
      <c r="B41" s="388">
        <f>Table3[[#This Row],[Time ]]^2</f>
        <v>1600</v>
      </c>
      <c r="C41" s="388"/>
      <c r="D41" s="388">
        <v>4</v>
      </c>
      <c r="E41" s="388">
        <v>1288.2</v>
      </c>
      <c r="F41" s="175">
        <f>$C$67+$B$67*Table3[[#This Row],[Time ]]</f>
        <v>1494.0649641577063</v>
      </c>
      <c r="G41" s="175">
        <f>$D$68+$C$68*Table3[ [#This Row],[Time ] ]+$B$68*Table3[[#This Row],[Time^2]]</f>
        <v>1272.438309333008</v>
      </c>
      <c r="H41" s="175">
        <f>Table3[[#This Row],[Sales]]/Table3[[#This Row],[Trend]]</f>
        <v>0.86221150412039504</v>
      </c>
      <c r="I41" s="387">
        <f>MEDIAN($H$5,$H$9,$H$13,$H$17,$H$21,$H$25,$H$29,$H$37,$H$41,$H$45,$H$49,$H$53,$H$57,$H$61,$H$65)</f>
        <v>0.86221150412039504</v>
      </c>
      <c r="J41" s="175">
        <f>Table3[[#This Row],[Seasonality]]*4/SUM($I$2:$I$5)</f>
        <v>0.95732759649047516</v>
      </c>
      <c r="K41" s="175">
        <f>Table3[[#This Row],[Sales]]/(Table3[[#This Row],[Trend]]* Table3[[#This Row],[Seasonality correction ]])</f>
        <v>0.90064415491753091</v>
      </c>
      <c r="L41" s="175">
        <f t="shared" si="1"/>
        <v>0.88445098422859036</v>
      </c>
      <c r="M41" s="175">
        <f>Table3[[#This Row],[CI]]/Table3[[#This Row],[C]]</f>
        <v>1.018308725952817</v>
      </c>
      <c r="N41" s="175">
        <f>Table3[[#This Row],[Trend]]*Table3[[#This Row],[Seasonality correction ]] *1*1</f>
        <v>1430.3096211377249</v>
      </c>
      <c r="O41" s="175">
        <f>Table3[[#This Row],[Sales]]-Table3[[#This Row],[Multidecomp fit]]</f>
        <v>-142.10962113772484</v>
      </c>
    </row>
    <row r="42" spans="1:15" x14ac:dyDescent="0.3">
      <c r="A42" s="175">
        <v>41</v>
      </c>
      <c r="B42" s="388">
        <f>Table3[[#This Row],[Time ]]^2</f>
        <v>1681</v>
      </c>
      <c r="C42" s="388">
        <v>1990</v>
      </c>
      <c r="D42" s="388">
        <v>1</v>
      </c>
      <c r="E42" s="388">
        <v>1303.8</v>
      </c>
      <c r="F42" s="175">
        <f>$C$67+$B$67*Table3[[#This Row],[Time ]]</f>
        <v>1539.028640232975</v>
      </c>
      <c r="G42" s="175">
        <f>$D$68+$C$68*Table3[ [#This Row],[Time ] ]+$B$68*Table3[[#This Row],[Time^2]]</f>
        <v>1331.5306846533513</v>
      </c>
      <c r="H42" s="175">
        <f>Table3[[#This Row],[Sales]]/Table3[[#This Row],[Trend]]</f>
        <v>0.84715772398012901</v>
      </c>
      <c r="I42" s="387">
        <f t="shared" si="2"/>
        <v>0.84715772398012901</v>
      </c>
      <c r="J42" s="175">
        <f>Table3[[#This Row],[Seasonality]]*4/SUM($I$2:$I$5)</f>
        <v>0.94061313711373673</v>
      </c>
      <c r="K42" s="175">
        <f>Table3[[#This Row],[Sales]]/(Table3[[#This Row],[Trend]]* Table3[[#This Row],[Seasonality correction ]])</f>
        <v>0.90064415491753091</v>
      </c>
      <c r="L42" s="175">
        <f t="shared" si="1"/>
        <v>0.92034666773771656</v>
      </c>
      <c r="M42" s="175">
        <f>Table3[[#This Row],[CI]]/Table3[[#This Row],[C]]</f>
        <v>0.9785922918929929</v>
      </c>
      <c r="N42" s="175">
        <f>Table3[[#This Row],[Trend]]*Table3[[#This Row],[Seasonality correction ]] *1*1</f>
        <v>1447.6305573974271</v>
      </c>
      <c r="O42" s="175">
        <f>Table3[[#This Row],[Sales]]-Table3[[#This Row],[Multidecomp fit]]</f>
        <v>-143.83055739742713</v>
      </c>
    </row>
    <row r="43" spans="1:15" x14ac:dyDescent="0.3">
      <c r="A43" s="175">
        <v>42</v>
      </c>
      <c r="B43" s="388">
        <f>Table3[[#This Row],[Time ]]^2</f>
        <v>1764</v>
      </c>
      <c r="C43" s="388"/>
      <c r="D43" s="388">
        <v>2</v>
      </c>
      <c r="E43" s="388">
        <v>1539.5</v>
      </c>
      <c r="F43" s="175">
        <f>$C$67+$B$67*Table3[[#This Row],[Time ]]</f>
        <v>1583.992316308244</v>
      </c>
      <c r="G43" s="175">
        <f>$D$68+$C$68*Table3[ [#This Row],[Time ] ]+$B$68*Table3[[#This Row],[Time^2]]</f>
        <v>1392.2852598848799</v>
      </c>
      <c r="H43" s="175">
        <f>Table3[[#This Row],[Sales]]/Table3[[#This Row],[Trend]]</f>
        <v>0.97191128021887085</v>
      </c>
      <c r="I43" s="387">
        <f>MEDIAN($H$3,$H$7,$H$11,$H$15,$H$19,$H$23,$H$27,$H$35,$H$39,$H$43,$H$47,$H$51,$H$55,$H$59,$H$63)</f>
        <v>0.91205487801385277</v>
      </c>
      <c r="J43" s="175">
        <f>Table3[[#This Row],[Seasonality]]*4/SUM($I$2:$I$5)</f>
        <v>1.012669513296699</v>
      </c>
      <c r="K43" s="175">
        <f>Table3[[#This Row],[Sales]]/(Table3[[#This Row],[Trend]]* Table3[[#This Row],[Seasonality correction ]])</f>
        <v>0.95975169337808786</v>
      </c>
      <c r="L43" s="175">
        <f t="shared" si="1"/>
        <v>0.94175013715708611</v>
      </c>
      <c r="M43" s="175">
        <f>Table3[[#This Row],[CI]]/Table3[[#This Row],[C]]</f>
        <v>1.0191150024945512</v>
      </c>
      <c r="N43" s="175">
        <f>Table3[[#This Row],[Trend]]*Table3[[#This Row],[Seasonality correction ]] *1*1</f>
        <v>1604.0607280215802</v>
      </c>
      <c r="O43" s="175">
        <f>Table3[[#This Row],[Sales]]-Table3[[#This Row],[Multidecomp fit]]</f>
        <v>-64.560728021580189</v>
      </c>
    </row>
    <row r="44" spans="1:15" x14ac:dyDescent="0.3">
      <c r="A44" s="175">
        <v>43</v>
      </c>
      <c r="B44" s="388">
        <f>Table3[[#This Row],[Time ]]^2</f>
        <v>1849</v>
      </c>
      <c r="C44" s="388"/>
      <c r="D44" s="388">
        <v>3</v>
      </c>
      <c r="E44" s="388">
        <v>1712.2</v>
      </c>
      <c r="F44" s="175">
        <f>$C$67+$B$67*Table3[[#This Row],[Time ]]</f>
        <v>1628.9559923835127</v>
      </c>
      <c r="G44" s="175">
        <f>$D$68+$C$68*Table3[ [#This Row],[Time ] ]+$B$68*Table3[[#This Row],[Time^2]]</f>
        <v>1454.7020350275939</v>
      </c>
      <c r="H44" s="175">
        <f>Table3[[#This Row],[Sales]]/Table3[[#This Row],[Trend]]</f>
        <v>1.0511026743544394</v>
      </c>
      <c r="I44" s="387">
        <f>MEDIAN($H$4,$H$8,$H$12,$H$16,$H$20,$H$24,$H$28,$H$36,$H$40,$H$44,$H$48,$H$52,$H$56,$H$60,$H$64)</f>
        <v>0.98115251355574673</v>
      </c>
      <c r="J44" s="175">
        <f>Table3[[#This Row],[Seasonality]]*4/SUM($I$2:$I$5)</f>
        <v>1.089389753099089</v>
      </c>
      <c r="K44" s="175">
        <f>Table3[[#This Row],[Sales]]/(Table3[[#This Row],[Trend]]* Table3[[#This Row],[Seasonality correction ]])</f>
        <v>0.96485456317563956</v>
      </c>
      <c r="L44" s="175">
        <f t="shared" si="1"/>
        <v>0.95196907152938104</v>
      </c>
      <c r="M44" s="175">
        <f>Table3[[#This Row],[CI]]/Table3[[#This Row],[C]]</f>
        <v>1.0135356200444174</v>
      </c>
      <c r="N44" s="175">
        <f>Table3[[#This Row],[Trend]]*Table3[[#This Row],[Seasonality correction ]] *1*1</f>
        <v>1774.5679663519566</v>
      </c>
      <c r="O44" s="175">
        <f>Table3[[#This Row],[Sales]]-Table3[[#This Row],[Multidecomp fit]]</f>
        <v>-62.367966351956511</v>
      </c>
    </row>
    <row r="45" spans="1:15" x14ac:dyDescent="0.3">
      <c r="A45" s="175">
        <v>44</v>
      </c>
      <c r="B45" s="388">
        <f>Table3[[#This Row],[Time ]]^2</f>
        <v>1936</v>
      </c>
      <c r="C45" s="388"/>
      <c r="D45" s="388">
        <v>4</v>
      </c>
      <c r="E45" s="388">
        <v>1492.4</v>
      </c>
      <c r="F45" s="175">
        <f>$C$67+$B$67*Table3[[#This Row],[Time ]]</f>
        <v>1673.9196684587816</v>
      </c>
      <c r="G45" s="175">
        <f>$D$68+$C$68*Table3[ [#This Row],[Time ] ]+$B$68*Table3[[#This Row],[Time^2]]</f>
        <v>1518.7810100814927</v>
      </c>
      <c r="H45" s="175">
        <f>Table3[[#This Row],[Sales]]/Table3[[#This Row],[Trend]]</f>
        <v>0.89156010776436412</v>
      </c>
      <c r="I45" s="387">
        <f>MEDIAN($H$5,$H$9,$H$13,$H$17,$H$21,$H$25,$H$29,$H$37,$H$41,$H$45,$H$49,$H$53,$H$57,$H$61,$H$65)</f>
        <v>0.86221150412039504</v>
      </c>
      <c r="J45" s="175">
        <f>Table3[[#This Row],[Seasonality]]*4/SUM($I$2:$I$5)</f>
        <v>0.95732759649047516</v>
      </c>
      <c r="K45" s="175">
        <f>Table3[[#This Row],[Sales]]/(Table3[[#This Row],[Trend]]* Table3[[#This Row],[Seasonality correction ]])</f>
        <v>0.93130095803441582</v>
      </c>
      <c r="L45" s="175">
        <f t="shared" si="1"/>
        <v>0.9287276223806602</v>
      </c>
      <c r="M45" s="175">
        <f>Table3[[#This Row],[CI]]/Table3[[#This Row],[C]]</f>
        <v>1.002770818474376</v>
      </c>
      <c r="N45" s="175">
        <f>Table3[[#This Row],[Trend]]*Table3[[#This Row],[Seasonality correction ]] *1*1</f>
        <v>1602.4894929237785</v>
      </c>
      <c r="O45" s="175">
        <f>Table3[[#This Row],[Sales]]-Table3[[#This Row],[Multidecomp fit]]</f>
        <v>-110.08949292377838</v>
      </c>
    </row>
    <row r="46" spans="1:15" x14ac:dyDescent="0.3">
      <c r="A46" s="175">
        <v>45</v>
      </c>
      <c r="B46" s="388">
        <f>Table3[[#This Row],[Time ]]^2</f>
        <v>2025</v>
      </c>
      <c r="C46" s="388">
        <v>1991</v>
      </c>
      <c r="D46" s="388">
        <v>1</v>
      </c>
      <c r="E46" s="388">
        <v>1439</v>
      </c>
      <c r="F46" s="175">
        <f>$C$67+$B$67*Table3[[#This Row],[Time ]]</f>
        <v>1718.8833445340504</v>
      </c>
      <c r="G46" s="175">
        <f>$D$68+$C$68*Table3[ [#This Row],[Time ] ]+$B$68*Table3[[#This Row],[Time^2]]</f>
        <v>1584.5221850465771</v>
      </c>
      <c r="H46" s="175">
        <f>Table3[[#This Row],[Sales]]/Table3[[#This Row],[Trend]]</f>
        <v>0.83717141397404127</v>
      </c>
      <c r="I46" s="387">
        <f t="shared" si="2"/>
        <v>0.84715772398012901</v>
      </c>
      <c r="J46" s="175">
        <f>Table3[[#This Row],[Seasonality]]*4/SUM($I$2:$I$5)</f>
        <v>0.94061313711373673</v>
      </c>
      <c r="K46" s="175">
        <f>Table3[[#This Row],[Sales]]/(Table3[[#This Row],[Trend]]* Table3[[#This Row],[Seasonality correction ]])</f>
        <v>0.89002734593192523</v>
      </c>
      <c r="L46" s="175">
        <f t="shared" si="1"/>
        <v>0.88919897104416401</v>
      </c>
      <c r="M46" s="175">
        <f>Table3[[#This Row],[CI]]/Table3[[#This Row],[C]]</f>
        <v>1.0009315967682559</v>
      </c>
      <c r="N46" s="175">
        <f>Table3[[#This Row],[Trend]]*Table3[[#This Row],[Seasonality correction ]] *1*1</f>
        <v>1616.8042550347252</v>
      </c>
      <c r="O46" s="175">
        <f>Table3[[#This Row],[Sales]]-Table3[[#This Row],[Multidecomp fit]]</f>
        <v>-177.8042550347252</v>
      </c>
    </row>
    <row r="47" spans="1:15" x14ac:dyDescent="0.3">
      <c r="A47" s="175">
        <v>46</v>
      </c>
      <c r="B47" s="388">
        <f>Table3[[#This Row],[Time ]]^2</f>
        <v>2116</v>
      </c>
      <c r="C47" s="388"/>
      <c r="D47" s="388">
        <v>2</v>
      </c>
      <c r="E47" s="388">
        <v>1511.6</v>
      </c>
      <c r="F47" s="175">
        <f>$C$67+$B$67*Table3[[#This Row],[Time ]]</f>
        <v>1763.8470206093193</v>
      </c>
      <c r="G47" s="175">
        <f>$D$68+$C$68*Table3[ [#This Row],[Time ] ]+$B$68*Table3[[#This Row],[Time^2]]</f>
        <v>1651.9255599228463</v>
      </c>
      <c r="H47" s="175">
        <f>Table3[[#This Row],[Sales]]/Table3[[#This Row],[Trend]]</f>
        <v>0.85699042056256047</v>
      </c>
      <c r="I47" s="387">
        <f>MEDIAN($H$3,$H$7,$H$11,$H$15,$H$19,$H$23,$H$27,$H$35,$H$39,$H$43,$H$47,$H$51,$H$55,$H$59,$H$63)</f>
        <v>0.91205487801385277</v>
      </c>
      <c r="J47" s="175">
        <f>Table3[[#This Row],[Seasonality]]*4/SUM($I$2:$I$5)</f>
        <v>1.012669513296699</v>
      </c>
      <c r="K47" s="175">
        <f>Table3[[#This Row],[Sales]]/(Table3[[#This Row],[Trend]]* Table3[[#This Row],[Seasonality correction ]])</f>
        <v>0.8462686091661511</v>
      </c>
      <c r="L47" s="175">
        <f t="shared" si="1"/>
        <v>0.87300538311565656</v>
      </c>
      <c r="M47" s="175">
        <f>Table3[[#This Row],[CI]]/Table3[[#This Row],[C]]</f>
        <v>0.96937387275427223</v>
      </c>
      <c r="N47" s="175">
        <f>Table3[[#This Row],[Trend]]*Table3[[#This Row],[Seasonality correction ]] *1*1</f>
        <v>1786.1941038902719</v>
      </c>
      <c r="O47" s="175">
        <f>Table3[[#This Row],[Sales]]-Table3[[#This Row],[Multidecomp fit]]</f>
        <v>-274.59410389027198</v>
      </c>
    </row>
    <row r="48" spans="1:15" x14ac:dyDescent="0.3">
      <c r="A48" s="175">
        <v>47</v>
      </c>
      <c r="B48" s="388">
        <f>Table3[[#This Row],[Time ]]^2</f>
        <v>2209</v>
      </c>
      <c r="C48" s="388"/>
      <c r="D48" s="388">
        <v>3</v>
      </c>
      <c r="E48" s="388">
        <v>1739.4</v>
      </c>
      <c r="F48" s="175">
        <f>$C$67+$B$67*Table3[[#This Row],[Time ]]</f>
        <v>1808.810696684588</v>
      </c>
      <c r="G48" s="175">
        <f>$D$68+$C$68*Table3[ [#This Row],[Time ] ]+$B$68*Table3[[#This Row],[Time^2]]</f>
        <v>1720.9911347103011</v>
      </c>
      <c r="H48" s="175">
        <f>Table3[[#This Row],[Sales]]/Table3[[#This Row],[Trend]]</f>
        <v>0.96162633446838164</v>
      </c>
      <c r="I48" s="387">
        <f>MEDIAN($H$4,$H$8,$H$12,$H$16,$H$20,$H$24,$H$28,$H$36,$H$40,$H$44,$H$48,$H$52,$H$56,$H$60,$H$64)</f>
        <v>0.98115251355574673</v>
      </c>
      <c r="J48" s="175">
        <f>Table3[[#This Row],[Seasonality]]*4/SUM($I$2:$I$5)</f>
        <v>1.089389753099089</v>
      </c>
      <c r="K48" s="175">
        <f>Table3[[#This Row],[Sales]]/(Table3[[#This Row],[Trend]]* Table3[[#This Row],[Seasonality correction ]])</f>
        <v>0.88272019424889325</v>
      </c>
      <c r="L48" s="175">
        <f t="shared" si="1"/>
        <v>0.94007810898441768</v>
      </c>
      <c r="M48" s="175">
        <f>Table3[[#This Row],[CI]]/Table3[[#This Row],[C]]</f>
        <v>0.93898601170759188</v>
      </c>
      <c r="N48" s="175">
        <f>Table3[[#This Row],[Trend]]*Table3[[#This Row],[Seasonality correction ]] *1*1</f>
        <v>1970.4998382642145</v>
      </c>
      <c r="O48" s="175">
        <f>Table3[[#This Row],[Sales]]-Table3[[#This Row],[Multidecomp fit]]</f>
        <v>-231.09983826421444</v>
      </c>
    </row>
    <row r="49" spans="1:15" x14ac:dyDescent="0.3">
      <c r="A49" s="175">
        <v>48</v>
      </c>
      <c r="B49" s="388">
        <f>Table3[[#This Row],[Time ]]^2</f>
        <v>2304</v>
      </c>
      <c r="C49" s="388"/>
      <c r="D49" s="388">
        <v>4</v>
      </c>
      <c r="E49" s="388">
        <v>1936.6</v>
      </c>
      <c r="F49" s="175">
        <f>$C$67+$B$67*Table3[[#This Row],[Time ]]</f>
        <v>1853.7743727598568</v>
      </c>
      <c r="G49" s="175">
        <f>$D$68+$C$68*Table3[ [#This Row],[Time ] ]+$B$68*Table3[[#This Row],[Time^2]]</f>
        <v>1791.7189094089413</v>
      </c>
      <c r="H49" s="175">
        <f>Table3[[#This Row],[Sales]]/Table3[[#This Row],[Trend]]</f>
        <v>1.0446794542298232</v>
      </c>
      <c r="I49" s="387">
        <f>MEDIAN($H$5,$H$9,$H$13,$H$17,$H$21,$H$25,$H$29,$H$37,$H$41,$H$45,$H$49,$H$53,$H$57,$H$61,$H$65)</f>
        <v>0.86221150412039504</v>
      </c>
      <c r="J49" s="175">
        <f>Table3[[#This Row],[Seasonality]]*4/SUM($I$2:$I$5)</f>
        <v>0.95732759649047516</v>
      </c>
      <c r="K49" s="175">
        <f>Table3[[#This Row],[Sales]]/(Table3[[#This Row],[Trend]]* Table3[[#This Row],[Seasonality correction ]])</f>
        <v>1.0912455235382084</v>
      </c>
      <c r="L49" s="175">
        <f t="shared" si="1"/>
        <v>0.96689496148734111</v>
      </c>
      <c r="M49" s="175">
        <f>Table3[[#This Row],[CI]]/Table3[[#This Row],[C]]</f>
        <v>1.128608139460757</v>
      </c>
      <c r="N49" s="175">
        <f>Table3[[#This Row],[Trend]]*Table3[[#This Row],[Seasonality correction ]] *1*1</f>
        <v>1774.6693647098318</v>
      </c>
      <c r="O49" s="175">
        <f>Table3[[#This Row],[Sales]]-Table3[[#This Row],[Multidecomp fit]]</f>
        <v>161.93063529016808</v>
      </c>
    </row>
    <row r="50" spans="1:15" x14ac:dyDescent="0.3">
      <c r="A50" s="175">
        <v>49</v>
      </c>
      <c r="B50" s="388">
        <f>Table3[[#This Row],[Time ]]^2</f>
        <v>2401</v>
      </c>
      <c r="C50" s="388">
        <v>1992</v>
      </c>
      <c r="D50" s="388">
        <v>1</v>
      </c>
      <c r="E50" s="388">
        <v>1655.1</v>
      </c>
      <c r="F50" s="175">
        <f>$C$67+$B$67*Table3[[#This Row],[Time ]]</f>
        <v>1898.7380488351255</v>
      </c>
      <c r="G50" s="175">
        <f>$D$68+$C$68*Table3[ [#This Row],[Time ] ]+$B$68*Table3[[#This Row],[Time^2]]</f>
        <v>1864.1088840187665</v>
      </c>
      <c r="H50" s="175">
        <f>Table3[[#This Row],[Sales]]/Table3[[#This Row],[Trend]]</f>
        <v>0.87168422258952605</v>
      </c>
      <c r="I50" s="387">
        <f t="shared" si="2"/>
        <v>0.84715772398012901</v>
      </c>
      <c r="J50" s="175">
        <f>Table3[[#This Row],[Seasonality]]*4/SUM($I$2:$I$5)</f>
        <v>0.94061313711373673</v>
      </c>
      <c r="K50" s="175">
        <f>Table3[[#This Row],[Sales]]/(Table3[[#This Row],[Trend]]* Table3[[#This Row],[Seasonality correction ]])</f>
        <v>0.92671916667492182</v>
      </c>
      <c r="L50" s="175">
        <f t="shared" si="1"/>
        <v>0.98654236703253717</v>
      </c>
      <c r="M50" s="175">
        <f>Table3[[#This Row],[CI]]/Table3[[#This Row],[C]]</f>
        <v>0.93936073872066939</v>
      </c>
      <c r="N50" s="175">
        <f>Table3[[#This Row],[Trend]]*Table3[[#This Row],[Seasonality correction ]] *1*1</f>
        <v>1785.9779526720229</v>
      </c>
      <c r="O50" s="175">
        <f>Table3[[#This Row],[Sales]]-Table3[[#This Row],[Multidecomp fit]]</f>
        <v>-130.87795267202296</v>
      </c>
    </row>
    <row r="51" spans="1:15" x14ac:dyDescent="0.3">
      <c r="A51" s="175">
        <v>50</v>
      </c>
      <c r="B51" s="388">
        <f>Table3[[#This Row],[Time ]]^2</f>
        <v>2500</v>
      </c>
      <c r="C51" s="388"/>
      <c r="D51" s="388">
        <v>2</v>
      </c>
      <c r="E51" s="388">
        <v>1853.5</v>
      </c>
      <c r="F51" s="175">
        <f>$C$67+$B$67*Table3[[#This Row],[Time ]]</f>
        <v>1943.7017249103947</v>
      </c>
      <c r="G51" s="175">
        <f>$D$68+$C$68*Table3[ [#This Row],[Time ] ]+$B$68*Table3[[#This Row],[Time^2]]</f>
        <v>1938.1610585397768</v>
      </c>
      <c r="H51" s="175">
        <f>Table3[[#This Row],[Sales]]/Table3[[#This Row],[Trend]]</f>
        <v>0.95359281532018347</v>
      </c>
      <c r="I51" s="387">
        <f>MEDIAN($H$3,$H$7,$H$11,$H$15,$H$19,$H$23,$H$27,$H$35,$H$39,$H$43,$H$47,$H$51,$H$55,$H$59,$H$63)</f>
        <v>0.91205487801385277</v>
      </c>
      <c r="J51" s="175">
        <f>Table3[[#This Row],[Seasonality]]*4/SUM($I$2:$I$5)</f>
        <v>1.012669513296699</v>
      </c>
      <c r="K51" s="175">
        <f>Table3[[#This Row],[Sales]]/(Table3[[#This Row],[Trend]]* Table3[[#This Row],[Seasonality correction ]])</f>
        <v>0.94166241088448088</v>
      </c>
      <c r="L51" s="175">
        <f t="shared" si="1"/>
        <v>0.94269008766111462</v>
      </c>
      <c r="M51" s="175">
        <f>Table3[[#This Row],[CI]]/Table3[[#This Row],[C]]</f>
        <v>0.99890984662925275</v>
      </c>
      <c r="N51" s="175">
        <f>Table3[[#This Row],[Trend]]*Table3[[#This Row],[Seasonality correction ]] *1*1</f>
        <v>1968.3274797589636</v>
      </c>
      <c r="O51" s="175">
        <f>Table3[[#This Row],[Sales]]-Table3[[#This Row],[Multidecomp fit]]</f>
        <v>-114.82747975896359</v>
      </c>
    </row>
    <row r="52" spans="1:15" x14ac:dyDescent="0.3">
      <c r="A52" s="175">
        <v>51</v>
      </c>
      <c r="B52" s="388">
        <f>Table3[[#This Row],[Time ]]^2</f>
        <v>2601</v>
      </c>
      <c r="C52" s="388"/>
      <c r="D52" s="388">
        <v>3</v>
      </c>
      <c r="E52" s="388">
        <v>2079.1</v>
      </c>
      <c r="F52" s="175">
        <f>$C$67+$B$67*Table3[[#This Row],[Time ]]</f>
        <v>1988.6654009856634</v>
      </c>
      <c r="G52" s="175">
        <f>$D$68+$C$68*Table3[ [#This Row],[Time ] ]+$B$68*Table3[[#This Row],[Time^2]]</f>
        <v>2013.8754329719723</v>
      </c>
      <c r="H52" s="175">
        <f>Table3[[#This Row],[Sales]]/Table3[[#This Row],[Trend]]</f>
        <v>1.0454750200659766</v>
      </c>
      <c r="I52" s="387">
        <f>MEDIAN($H$4,$H$8,$H$12,$H$16,$H$20,$H$24,$H$28,$H$36,$H$40,$H$44,$H$48,$H$52,$H$56,$H$60,$H$64)</f>
        <v>0.98115251355574673</v>
      </c>
      <c r="J52" s="175">
        <f>Table3[[#This Row],[Seasonality]]*4/SUM($I$2:$I$5)</f>
        <v>1.089389753099089</v>
      </c>
      <c r="K52" s="175">
        <f>Table3[[#This Row],[Sales]]/(Table3[[#This Row],[Trend]]* Table3[[#This Row],[Seasonality correction ]])</f>
        <v>0.95968868542394126</v>
      </c>
      <c r="L52" s="175">
        <f t="shared" si="1"/>
        <v>1.0432315997112469</v>
      </c>
      <c r="M52" s="175">
        <f>Table3[[#This Row],[CI]]/Table3[[#This Row],[C]]</f>
        <v>0.91991911066494803</v>
      </c>
      <c r="N52" s="175">
        <f>Table3[[#This Row],[Trend]]*Table3[[#This Row],[Seasonality correction ]] *1*1</f>
        <v>2166.4317101764727</v>
      </c>
      <c r="O52" s="175">
        <f>Table3[[#This Row],[Sales]]-Table3[[#This Row],[Multidecomp fit]]</f>
        <v>-87.331710176472825</v>
      </c>
    </row>
    <row r="53" spans="1:15" x14ac:dyDescent="0.3">
      <c r="A53" s="175">
        <v>52</v>
      </c>
      <c r="B53" s="388">
        <f>Table3[[#This Row],[Time ]]^2</f>
        <v>2704</v>
      </c>
      <c r="C53" s="388"/>
      <c r="D53" s="388">
        <v>4</v>
      </c>
      <c r="E53" s="388">
        <v>2391.4</v>
      </c>
      <c r="F53" s="175">
        <f>$C$67+$B$67*Table3[[#This Row],[Time ]]</f>
        <v>2033.6290770609321</v>
      </c>
      <c r="G53" s="175">
        <f>$D$68+$C$68*Table3[ [#This Row],[Time ] ]+$B$68*Table3[[#This Row],[Time^2]]</f>
        <v>2091.2520073153537</v>
      </c>
      <c r="H53" s="175">
        <f>Table3[[#This Row],[Sales]]/Table3[[#This Row],[Trend]]</f>
        <v>1.1759273246899726</v>
      </c>
      <c r="I53" s="387">
        <f>MEDIAN($H$5,$H$9,$H$13,$H$17,$H$21,$H$25,$H$29,$H$37,$H$41,$H$45,$H$49,$H$53,$H$57,$H$61,$H$65)</f>
        <v>0.86221150412039504</v>
      </c>
      <c r="J53" s="175">
        <f>Table3[[#This Row],[Seasonality]]*4/SUM($I$2:$I$5)</f>
        <v>0.95732759649047516</v>
      </c>
      <c r="K53" s="175">
        <f>Table3[[#This Row],[Sales]]/(Table3[[#This Row],[Trend]]* Table3[[#This Row],[Seasonality correction ]])</f>
        <v>1.2283437028253186</v>
      </c>
      <c r="L53" s="175">
        <f t="shared" si="1"/>
        <v>1.0748416256812907</v>
      </c>
      <c r="M53" s="175">
        <f>Table3[[#This Row],[CI]]/Table3[[#This Row],[C]]</f>
        <v>1.1428136699178637</v>
      </c>
      <c r="N53" s="175">
        <f>Table3[[#This Row],[Trend]]*Table3[[#This Row],[Seasonality correction ]] *1*1</f>
        <v>1946.8492364958854</v>
      </c>
      <c r="O53" s="175">
        <f>Table3[[#This Row],[Sales]]-Table3[[#This Row],[Multidecomp fit]]</f>
        <v>444.55076350411468</v>
      </c>
    </row>
    <row r="54" spans="1:15" x14ac:dyDescent="0.3">
      <c r="A54" s="175">
        <v>53</v>
      </c>
      <c r="B54" s="388">
        <f>Table3[[#This Row],[Time ]]^2</f>
        <v>2809</v>
      </c>
      <c r="C54" s="388">
        <v>1993</v>
      </c>
      <c r="D54" s="388">
        <v>1</v>
      </c>
      <c r="E54" s="388">
        <v>2026.5</v>
      </c>
      <c r="F54" s="175">
        <f>$C$67+$B$67*Table3[[#This Row],[Time ]]</f>
        <v>2078.5927531362008</v>
      </c>
      <c r="G54" s="175">
        <f>$D$68+$C$68*Table3[ [#This Row],[Time ] ]+$B$68*Table3[[#This Row],[Time^2]]</f>
        <v>2170.2907815699195</v>
      </c>
      <c r="H54" s="175">
        <f>Table3[[#This Row],[Sales]]/Table3[[#This Row],[Trend]]</f>
        <v>0.9749384514799242</v>
      </c>
      <c r="I54" s="387">
        <f t="shared" si="2"/>
        <v>0.84715772398012901</v>
      </c>
      <c r="J54" s="175">
        <f>Table3[[#This Row],[Seasonality]]*4/SUM($I$2:$I$5)</f>
        <v>0.94061313711373673</v>
      </c>
      <c r="K54" s="175">
        <f>Table3[[#This Row],[Sales]]/(Table3[[#This Row],[Trend]]* Table3[[#This Row],[Seasonality correction ]])</f>
        <v>1.0364924887946116</v>
      </c>
      <c r="L54" s="175">
        <f t="shared" si="1"/>
        <v>1.0551601155124872</v>
      </c>
      <c r="M54" s="175">
        <f>Table3[[#This Row],[CI]]/Table3[[#This Row],[C]]</f>
        <v>0.98230825213782003</v>
      </c>
      <c r="N54" s="175">
        <f>Table3[[#This Row],[Trend]]*Table3[[#This Row],[Seasonality correction ]] *1*1</f>
        <v>1955.1516503093208</v>
      </c>
      <c r="O54" s="175">
        <f>Table3[[#This Row],[Sales]]-Table3[[#This Row],[Multidecomp fit]]</f>
        <v>71.348349690679242</v>
      </c>
    </row>
    <row r="55" spans="1:15" x14ac:dyDescent="0.3">
      <c r="A55" s="175">
        <v>54</v>
      </c>
      <c r="B55" s="388">
        <f>Table3[[#This Row],[Time ]]^2</f>
        <v>2916</v>
      </c>
      <c r="C55" s="388"/>
      <c r="D55" s="388">
        <v>2</v>
      </c>
      <c r="E55" s="388">
        <v>1936.8</v>
      </c>
      <c r="F55" s="175">
        <f>$C$67+$B$67*Table3[[#This Row],[Time ]]</f>
        <v>2123.55642921147</v>
      </c>
      <c r="G55" s="175">
        <f>$D$68+$C$68*Table3[ [#This Row],[Time ] ]+$B$68*Table3[[#This Row],[Time^2]]</f>
        <v>2250.9917557356712</v>
      </c>
      <c r="H55" s="175">
        <f>Table3[[#This Row],[Sales]]/Table3[[#This Row],[Trend]]</f>
        <v>0.91205487801385277</v>
      </c>
      <c r="I55" s="387">
        <f>MEDIAN($H$3,$H$7,$H$11,$H$15,$H$19,$H$23,$H$27,$H$35,$H$39,$H$43,$H$47,$H$51,$H$55,$H$59,$H$63)</f>
        <v>0.91205487801385277</v>
      </c>
      <c r="J55" s="175">
        <f>Table3[[#This Row],[Seasonality]]*4/SUM($I$2:$I$5)</f>
        <v>1.012669513296699</v>
      </c>
      <c r="K55" s="175">
        <f>Table3[[#This Row],[Sales]]/(Table3[[#This Row],[Trend]]* Table3[[#This Row],[Seasonality correction ]])</f>
        <v>0.90064415491753091</v>
      </c>
      <c r="L55" s="175">
        <f t="shared" si="1"/>
        <v>0.95253769174491676</v>
      </c>
      <c r="M55" s="175">
        <f>Table3[[#This Row],[CI]]/Table3[[#This Row],[C]]</f>
        <v>0.94552075232600608</v>
      </c>
      <c r="N55" s="175">
        <f>Table3[[#This Row],[Trend]]*Table3[[#This Row],[Seasonality correction ]] *1*1</f>
        <v>2150.4608556276553</v>
      </c>
      <c r="O55" s="175">
        <f>Table3[[#This Row],[Sales]]-Table3[[#This Row],[Multidecomp fit]]</f>
        <v>-213.66085562765534</v>
      </c>
    </row>
    <row r="56" spans="1:15" x14ac:dyDescent="0.3">
      <c r="A56" s="175">
        <v>55</v>
      </c>
      <c r="B56" s="388">
        <f>Table3[[#This Row],[Time ]]^2</f>
        <v>3025</v>
      </c>
      <c r="C56" s="388"/>
      <c r="D56" s="388">
        <v>3</v>
      </c>
      <c r="E56" s="388">
        <v>2174.5</v>
      </c>
      <c r="F56" s="175">
        <f>$C$67+$B$67*Table3[[#This Row],[Time ]]</f>
        <v>2168.5201052867387</v>
      </c>
      <c r="G56" s="175">
        <f>$D$68+$C$68*Table3[ [#This Row],[Time ] ]+$B$68*Table3[[#This Row],[Time^2]]</f>
        <v>2333.3549298126072</v>
      </c>
      <c r="H56" s="175">
        <f>Table3[[#This Row],[Sales]]/Table3[[#This Row],[Trend]]</f>
        <v>1.0027575924699441</v>
      </c>
      <c r="I56" s="387">
        <f>MEDIAN($H$4,$H$8,$H$12,$H$16,$H$20,$H$24,$H$28,$H$36,$H$40,$H$44,$H$48,$H$52,$H$56,$H$60,$H$64)</f>
        <v>0.98115251355574673</v>
      </c>
      <c r="J56" s="175">
        <f>Table3[[#This Row],[Seasonality]]*4/SUM($I$2:$I$5)</f>
        <v>1.089389753099089</v>
      </c>
      <c r="K56" s="175">
        <f>Table3[[#This Row],[Sales]]/(Table3[[#This Row],[Trend]]* Table3[[#This Row],[Seasonality correction ]])</f>
        <v>0.92047643152260783</v>
      </c>
      <c r="L56" s="175">
        <f t="shared" si="1"/>
        <v>1.0360574262707445</v>
      </c>
      <c r="M56" s="175">
        <f>Table3[[#This Row],[CI]]/Table3[[#This Row],[C]]</f>
        <v>0.88844151702655449</v>
      </c>
      <c r="N56" s="175">
        <f>Table3[[#This Row],[Trend]]*Table3[[#This Row],[Seasonality correction ]] *1*1</f>
        <v>2362.3635820887307</v>
      </c>
      <c r="O56" s="175">
        <f>Table3[[#This Row],[Sales]]-Table3[[#This Row],[Multidecomp fit]]</f>
        <v>-187.86358208873071</v>
      </c>
    </row>
    <row r="57" spans="1:15" x14ac:dyDescent="0.3">
      <c r="A57" s="175">
        <v>56</v>
      </c>
      <c r="B57" s="388">
        <f>Table3[[#This Row],[Time ]]^2</f>
        <v>3136</v>
      </c>
      <c r="C57" s="388"/>
      <c r="D57" s="388">
        <v>4</v>
      </c>
      <c r="E57" s="388">
        <v>2727.3</v>
      </c>
      <c r="F57" s="175">
        <f>$C$67+$B$67*Table3[[#This Row],[Time ]]</f>
        <v>2213.4837813620074</v>
      </c>
      <c r="G57" s="175">
        <f>$D$68+$C$68*Table3[ [#This Row],[Time ] ]+$B$68*Table3[[#This Row],[Time^2]]</f>
        <v>2417.3803038007295</v>
      </c>
      <c r="H57" s="175">
        <f>Table3[[#This Row],[Sales]]/Table3[[#This Row],[Trend]]</f>
        <v>1.2321301032175758</v>
      </c>
      <c r="I57" s="387">
        <f>MEDIAN($H$5,$H$9,$H$13,$H$17,$H$21,$H$25,$H$29,$H$37,$H$41,$H$45,$H$49,$H$53,$H$57,$H$61,$H$65)</f>
        <v>0.86221150412039504</v>
      </c>
      <c r="J57" s="175">
        <f>Table3[[#This Row],[Seasonality]]*4/SUM($I$2:$I$5)</f>
        <v>0.95732759649047516</v>
      </c>
      <c r="K57" s="175">
        <f>Table3[[#This Row],[Sales]]/(Table3[[#This Row],[Trend]]* Table3[[#This Row],[Seasonality correction ]])</f>
        <v>1.2870516923720947</v>
      </c>
      <c r="L57" s="175">
        <f t="shared" si="1"/>
        <v>1.0929443170631803</v>
      </c>
      <c r="M57" s="175">
        <f>Table3[[#This Row],[CI]]/Table3[[#This Row],[C]]</f>
        <v>1.1776004250888965</v>
      </c>
      <c r="N57" s="175">
        <f>Table3[[#This Row],[Trend]]*Table3[[#This Row],[Seasonality correction ]] *1*1</f>
        <v>2119.029108281939</v>
      </c>
      <c r="O57" s="175">
        <f>Table3[[#This Row],[Sales]]-Table3[[#This Row],[Multidecomp fit]]</f>
        <v>608.27089171806119</v>
      </c>
    </row>
    <row r="58" spans="1:15" x14ac:dyDescent="0.3">
      <c r="A58" s="175">
        <v>57</v>
      </c>
      <c r="B58" s="388">
        <f>Table3[[#This Row],[Time ]]^2</f>
        <v>3249</v>
      </c>
      <c r="C58" s="388">
        <v>1994</v>
      </c>
      <c r="D58" s="388">
        <v>1</v>
      </c>
      <c r="E58" s="388">
        <v>2275.8000000000002</v>
      </c>
      <c r="F58" s="175">
        <f>$C$67+$B$67*Table3[[#This Row],[Time ]]</f>
        <v>2258.4474574372762</v>
      </c>
      <c r="G58" s="175">
        <f>$D$68+$C$68*Table3[ [#This Row],[Time ] ]+$B$68*Table3[[#This Row],[Time^2]]</f>
        <v>2503.0678777000367</v>
      </c>
      <c r="H58" s="175">
        <f>Table3[[#This Row],[Sales]]/Table3[[#This Row],[Trend]]</f>
        <v>1.0076833944068879</v>
      </c>
      <c r="I58" s="387">
        <f t="shared" si="2"/>
        <v>0.84715772398012901</v>
      </c>
      <c r="J58" s="175">
        <f>Table3[[#This Row],[Seasonality]]*4/SUM($I$2:$I$5)</f>
        <v>0.94061313711373673</v>
      </c>
      <c r="K58" s="175">
        <f>Table3[[#This Row],[Sales]]/(Table3[[#This Row],[Trend]]* Table3[[#This Row],[Seasonality correction ]])</f>
        <v>1.0713048272948384</v>
      </c>
      <c r="L58" s="175">
        <f t="shared" si="1"/>
        <v>1.122453948130268</v>
      </c>
      <c r="M58" s="175">
        <f>Table3[[#This Row],[CI]]/Table3[[#This Row],[C]]</f>
        <v>0.95443098496768497</v>
      </c>
      <c r="N58" s="175">
        <f>Table3[[#This Row],[Trend]]*Table3[[#This Row],[Seasonality correction ]] *1*1</f>
        <v>2124.3253479466189</v>
      </c>
      <c r="O58" s="175">
        <f>Table3[[#This Row],[Sales]]-Table3[[#This Row],[Multidecomp fit]]</f>
        <v>151.47465205338131</v>
      </c>
    </row>
    <row r="59" spans="1:15" x14ac:dyDescent="0.3">
      <c r="A59" s="175">
        <v>58</v>
      </c>
      <c r="B59" s="388">
        <f>Table3[[#This Row],[Time ]]^2</f>
        <v>3364</v>
      </c>
      <c r="C59" s="388"/>
      <c r="D59" s="388">
        <v>2</v>
      </c>
      <c r="E59" s="388">
        <v>2353.6</v>
      </c>
      <c r="F59" s="175">
        <f>$C$67+$B$67*Table3[[#This Row],[Time ]]</f>
        <v>2303.4111335125453</v>
      </c>
      <c r="G59" s="175">
        <f>$D$68+$C$68*Table3[ [#This Row],[Time ] ]+$B$68*Table3[[#This Row],[Time^2]]</f>
        <v>2590.4176515105287</v>
      </c>
      <c r="H59" s="175">
        <f>Table3[[#This Row],[Sales]]/Table3[[#This Row],[Trend]]</f>
        <v>1.0217889311019002</v>
      </c>
      <c r="I59" s="387">
        <f>MEDIAN($H$3,$H$7,$H$11,$H$15,$H$19,$H$23,$H$27,$H$35,$H$39,$H$43,$H$47,$H$51,$H$55,$H$59,$H$63)</f>
        <v>0.91205487801385277</v>
      </c>
      <c r="J59" s="175">
        <f>Table3[[#This Row],[Seasonality]]*4/SUM($I$2:$I$5)</f>
        <v>1.012669513296699</v>
      </c>
      <c r="K59" s="175">
        <f>Table3[[#This Row],[Sales]]/(Table3[[#This Row],[Trend]]* Table3[[#This Row],[Seasonality correction ]])</f>
        <v>1.0090053247238711</v>
      </c>
      <c r="L59" s="175">
        <f t="shared" si="1"/>
        <v>1.0450249849339033</v>
      </c>
      <c r="M59" s="175">
        <f>Table3[[#This Row],[CI]]/Table3[[#This Row],[C]]</f>
        <v>0.96553224972672747</v>
      </c>
      <c r="N59" s="175">
        <f>Table3[[#This Row],[Trend]]*Table3[[#This Row],[Seasonality correction ]] *1*1</f>
        <v>2332.5942314963468</v>
      </c>
      <c r="O59" s="175">
        <f>Table3[[#This Row],[Sales]]-Table3[[#This Row],[Multidecomp fit]]</f>
        <v>21.005768503653144</v>
      </c>
    </row>
    <row r="60" spans="1:15" x14ac:dyDescent="0.3">
      <c r="A60" s="175">
        <v>59</v>
      </c>
      <c r="B60" s="388">
        <f>Table3[[#This Row],[Time ]]^2</f>
        <v>3481</v>
      </c>
      <c r="C60" s="388"/>
      <c r="D60" s="388">
        <v>3</v>
      </c>
      <c r="E60" s="388">
        <v>2698.4</v>
      </c>
      <c r="F60" s="175">
        <f>$C$67+$B$67*Table3[[#This Row],[Time ]]</f>
        <v>2348.3748095878141</v>
      </c>
      <c r="G60" s="175">
        <f>$D$68+$C$68*Table3[ [#This Row],[Time ] ]+$B$68*Table3[[#This Row],[Time^2]]</f>
        <v>2679.4296252322065</v>
      </c>
      <c r="H60" s="175">
        <f>Table3[[#This Row],[Sales]]/Table3[[#This Row],[Trend]]</f>
        <v>1.1490499680813824</v>
      </c>
      <c r="I60" s="387">
        <f>MEDIAN($H$4,$H$8,$H$12,$H$16,$H$20,$H$24,$H$28,$H$36,$H$40,$H$44,$H$48,$H$52,$H$56,$H$60,$H$64)</f>
        <v>0.98115251355574673</v>
      </c>
      <c r="J60" s="175">
        <f>Table3[[#This Row],[Seasonality]]*4/SUM($I$2:$I$5)</f>
        <v>1.089389753099089</v>
      </c>
      <c r="K60" s="175">
        <f>Table3[[#This Row],[Sales]]/(Table3[[#This Row],[Trend]]* Table3[[#This Row],[Seasonality correction ]])</f>
        <v>1.0547648027830006</v>
      </c>
      <c r="L60" s="175">
        <f t="shared" si="1"/>
        <v>1.1682665816456879</v>
      </c>
      <c r="M60" s="175">
        <f>Table3[[#This Row],[CI]]/Table3[[#This Row],[C]]</f>
        <v>0.9028459936748322</v>
      </c>
      <c r="N60" s="175">
        <f>Table3[[#This Row],[Trend]]*Table3[[#This Row],[Seasonality correction ]] *1*1</f>
        <v>2558.2954540009891</v>
      </c>
      <c r="O60" s="175">
        <f>Table3[[#This Row],[Sales]]-Table3[[#This Row],[Multidecomp fit]]</f>
        <v>140.10454599901095</v>
      </c>
    </row>
    <row r="61" spans="1:15" x14ac:dyDescent="0.3">
      <c r="A61" s="175">
        <v>60</v>
      </c>
      <c r="B61" s="388">
        <f>Table3[[#This Row],[Time ]]^2</f>
        <v>3600</v>
      </c>
      <c r="C61" s="388"/>
      <c r="D61" s="388">
        <v>4</v>
      </c>
      <c r="E61" s="388">
        <v>3301.7</v>
      </c>
      <c r="F61" s="175">
        <f>$C$67+$B$67*Table3[[#This Row],[Time ]]</f>
        <v>2393.3384856630828</v>
      </c>
      <c r="G61" s="175">
        <f>$D$68+$C$68*Table3[ [#This Row],[Time ] ]+$B$68*Table3[[#This Row],[Time^2]]</f>
        <v>2770.1037988650687</v>
      </c>
      <c r="H61" s="175">
        <f>Table3[[#This Row],[Sales]]/Table3[[#This Row],[Trend]]</f>
        <v>1.3795374201260346</v>
      </c>
      <c r="I61" s="387">
        <f>MEDIAN($H$5,$H$9,$H$13,$H$17,$H$21,$H$25,$H$29,$H$37,$H$41,$H$45,$H$49,$H$53,$H$57,$H$61,$H$65)</f>
        <v>0.86221150412039504</v>
      </c>
      <c r="J61" s="175">
        <f>Table3[[#This Row],[Seasonality]]*4/SUM($I$2:$I$5)</f>
        <v>0.95732759649047516</v>
      </c>
      <c r="K61" s="175">
        <f>Table3[[#This Row],[Sales]]/(Table3[[#This Row],[Trend]]* Table3[[#This Row],[Seasonality correction ]])</f>
        <v>1.441029617430192</v>
      </c>
      <c r="L61" s="175">
        <f t="shared" si="1"/>
        <v>1.2567263598651512</v>
      </c>
      <c r="M61" s="175">
        <f>Table3[[#This Row],[CI]]/Table3[[#This Row],[C]]</f>
        <v>1.1466534509428263</v>
      </c>
      <c r="N61" s="175">
        <f>Table3[[#This Row],[Trend]]*Table3[[#This Row],[Seasonality correction ]] *1*1</f>
        <v>2291.2089800679928</v>
      </c>
      <c r="O61" s="175">
        <f>Table3[[#This Row],[Sales]]-Table3[[#This Row],[Multidecomp fit]]</f>
        <v>1010.491019932007</v>
      </c>
    </row>
    <row r="62" spans="1:15" x14ac:dyDescent="0.3">
      <c r="A62" s="175">
        <v>61</v>
      </c>
      <c r="B62" s="388">
        <f>Table3[[#This Row],[Time ]]^2</f>
        <v>3721</v>
      </c>
      <c r="C62" s="388">
        <v>1995</v>
      </c>
      <c r="D62" s="388">
        <v>1</v>
      </c>
      <c r="E62" s="388">
        <v>2922.8</v>
      </c>
      <c r="F62" s="175">
        <f>$C$67+$B$67*Table3[[#This Row],[Time ]]</f>
        <v>2438.3021617383515</v>
      </c>
      <c r="G62" s="175">
        <f>$D$68+$C$68*Table3[ [#This Row],[Time ] ]+$B$68*Table3[[#This Row],[Time^2]]</f>
        <v>2862.4401724091172</v>
      </c>
      <c r="H62" s="175">
        <f>Table3[[#This Row],[Sales]]/Table3[[#This Row],[Trend]]</f>
        <v>1.1987029523511692</v>
      </c>
      <c r="I62" s="387">
        <f t="shared" si="2"/>
        <v>0.84715772398012901</v>
      </c>
      <c r="J62" s="175">
        <f>Table3[[#This Row],[Seasonality]]*4/SUM($I$2:$I$5)</f>
        <v>0.94061313711373673</v>
      </c>
      <c r="K62" s="175">
        <f>Table3[[#This Row],[Sales]]/(Table3[[#This Row],[Trend]]* Table3[[#This Row],[Seasonality correction ]])</f>
        <v>1.274384659382261</v>
      </c>
      <c r="L62" s="175">
        <f t="shared" si="1"/>
        <v>1.2715130947303155</v>
      </c>
      <c r="M62" s="175">
        <f>Table3[[#This Row],[CI]]/Table3[[#This Row],[C]]</f>
        <v>1.0022583838608083</v>
      </c>
      <c r="N62" s="175">
        <f>Table3[[#This Row],[Trend]]*Table3[[#This Row],[Seasonality correction ]] *1*1</f>
        <v>2293.4990455839165</v>
      </c>
      <c r="O62" s="175">
        <f>Table3[[#This Row],[Sales]]-Table3[[#This Row],[Multidecomp fit]]</f>
        <v>629.30095441608364</v>
      </c>
    </row>
    <row r="63" spans="1:15" x14ac:dyDescent="0.3">
      <c r="A63" s="175">
        <v>62</v>
      </c>
      <c r="B63" s="388">
        <f>Table3[[#This Row],[Time ]]^2</f>
        <v>3844</v>
      </c>
      <c r="C63" s="388"/>
      <c r="D63" s="388">
        <v>2</v>
      </c>
      <c r="E63" s="388">
        <v>2764</v>
      </c>
      <c r="F63" s="175">
        <f>$C$67+$B$67*Table3[[#This Row],[Time ]]</f>
        <v>2483.2658378136207</v>
      </c>
      <c r="G63" s="175">
        <f>$D$68+$C$68*Table3[ [#This Row],[Time ] ]+$B$68*Table3[[#This Row],[Time^2]]</f>
        <v>2956.43874586435</v>
      </c>
      <c r="H63" s="175">
        <f>Table3[[#This Row],[Sales]]/Table3[[#This Row],[Trend]]</f>
        <v>1.1130503862742098</v>
      </c>
      <c r="I63" s="387">
        <f>MEDIAN($H$3,$H$7,$H$11,$H$15,$H$19,$H$23,$H$27,$H$35,$H$39,$H$43,$H$47,$H$51,$H$55,$H$59,$H$63)</f>
        <v>0.91205487801385277</v>
      </c>
      <c r="J63" s="175">
        <f>Table3[[#This Row],[Seasonality]]*4/SUM($I$2:$I$5)</f>
        <v>1.012669513296699</v>
      </c>
      <c r="K63" s="175">
        <f>Table3[[#This Row],[Sales]]/(Table3[[#This Row],[Trend]]* Table3[[#This Row],[Seasonality correction ]])</f>
        <v>1.0991250073784937</v>
      </c>
      <c r="L63" s="175">
        <f t="shared" si="1"/>
        <v>1.1692069486080383</v>
      </c>
      <c r="M63" s="175">
        <f>Table3[[#This Row],[CI]]/Table3[[#This Row],[C]]</f>
        <v>0.94006027648657209</v>
      </c>
      <c r="N63" s="175">
        <f>Table3[[#This Row],[Trend]]*Table3[[#This Row],[Seasonality correction ]] *1*1</f>
        <v>2514.7276073650387</v>
      </c>
      <c r="O63" s="175">
        <f>Table3[[#This Row],[Sales]]-Table3[[#This Row],[Multidecomp fit]]</f>
        <v>249.27239263496131</v>
      </c>
    </row>
    <row r="64" spans="1:15" x14ac:dyDescent="0.3">
      <c r="A64" s="175">
        <v>63</v>
      </c>
      <c r="B64" s="388">
        <f>Table3[[#This Row],[Time ]]^2</f>
        <v>3969</v>
      </c>
      <c r="C64" s="388"/>
      <c r="D64" s="388">
        <v>3</v>
      </c>
      <c r="E64" s="388">
        <v>3123.6</v>
      </c>
      <c r="F64" s="175">
        <f>$C$67+$B$67*Table3[[#This Row],[Time ]]</f>
        <v>2528.2295138888894</v>
      </c>
      <c r="G64" s="175">
        <f>$D$68+$C$68*Table3[ [#This Row],[Time ] ]+$B$68*Table3[[#This Row],[Time^2]]</f>
        <v>3052.0995192307687</v>
      </c>
      <c r="H64" s="175">
        <f>Table3[[#This Row],[Sales]]/Table3[[#This Row],[Trend]]</f>
        <v>1.2354890973467514</v>
      </c>
      <c r="I64" s="387">
        <f>MEDIAN($H$4,$H$8,$H$12,$H$16,$H$20,$H$24,$H$28,$H$36,$H$40,$H$44,$H$48,$H$52,$H$56,$H$60,$H$64)</f>
        <v>0.98115251355574673</v>
      </c>
      <c r="J64" s="175">
        <f>Table3[[#This Row],[Seasonality]]*4/SUM($I$2:$I$5)</f>
        <v>1.089389753099089</v>
      </c>
      <c r="K64" s="175">
        <f>Table3[[#This Row],[Sales]]/(Table3[[#This Row],[Trend]]* Table3[[#This Row],[Seasonality correction ]])</f>
        <v>1.1341111790633607</v>
      </c>
      <c r="L64" s="175">
        <f t="shared" si="1"/>
        <v>0.74441206214728484</v>
      </c>
      <c r="M64" s="175">
        <f>Table3[[#This Row],[CI]]/Table3[[#This Row],[C]]</f>
        <v>1.5234991971945939</v>
      </c>
      <c r="N64" s="175">
        <f>Table3[[#This Row],[Trend]]*Table3[[#This Row],[Seasonality correction ]] *1*1</f>
        <v>2754.2273259132471</v>
      </c>
      <c r="O64" s="175">
        <f>Table3[[#This Row],[Sales]]-Table3[[#This Row],[Multidecomp fit]]</f>
        <v>369.3726740867528</v>
      </c>
    </row>
    <row r="65" spans="1:15" x14ac:dyDescent="0.3">
      <c r="A65" s="388"/>
      <c r="B65" s="388"/>
      <c r="C65" s="388"/>
      <c r="D65" s="388">
        <v>4</v>
      </c>
      <c r="E65" s="388"/>
      <c r="F65" s="388">
        <f>$C$67+$B$67*Table3[[#This Row],[Time ]]</f>
        <v>-304.48207885304691</v>
      </c>
      <c r="G65" s="388">
        <f>$D$68+$C$68*Table3[ [#This Row],[Time ] ]+$B$68*Table3[[#This Row],[Time^2]]</f>
        <v>271.7472236911683</v>
      </c>
      <c r="H65" s="388">
        <f>Table3[[#This Row],[Sales]]/Table3[[#This Row],[Trend]]</f>
        <v>0</v>
      </c>
      <c r="I65" s="387">
        <f>MEDIAN($H$5,$H$9,$H$13,$H$17,$H$21,$H$25,$H$29,$H$37,$H$41,$H$45,$H$49,$H$53,$H$57,$H$61,$H$65)</f>
        <v>0.86221150412039504</v>
      </c>
      <c r="J65" s="388">
        <f>Table3[[#This Row],[Seasonality]]*4/SUM($I$2:$I$5)</f>
        <v>0.95732759649047516</v>
      </c>
      <c r="K65" s="388">
        <f>Table3[[#This Row],[Sales]]/(Table3[[#This Row],[Trend]]* Table3[[#This Row],[Seasonality correction ]])</f>
        <v>0</v>
      </c>
      <c r="L65" s="388">
        <f>AVERAGE(J64:J66)</f>
        <v>1.023358674794782</v>
      </c>
      <c r="M65" s="388">
        <f>Table3[[#This Row],[CI]]/Table3[[#This Row],[C]]</f>
        <v>0</v>
      </c>
      <c r="N65" s="388">
        <f>Table3[[#This Row],[Trend]]*Table3[[#This Row],[Seasonality correction ]] *1*1</f>
        <v>-291.48909672281076</v>
      </c>
      <c r="O65" s="388">
        <f>Table3[[#This Row],[Sales]]-Table3[[#This Row],[Multidecomp fit]]</f>
        <v>291.48909672281076</v>
      </c>
    </row>
    <row r="67" spans="1:15" x14ac:dyDescent="0.3">
      <c r="A67" t="s">
        <v>136</v>
      </c>
      <c r="B67">
        <f t="array" ref="B67:C67">LINEST(E2:E64,A2:A64,TRUE,TRUE)</f>
        <v>44.963676075268829</v>
      </c>
      <c r="C67">
        <v>-304.48207885304691</v>
      </c>
    </row>
    <row r="68" spans="1:15" x14ac:dyDescent="0.3">
      <c r="A68" t="s">
        <v>233</v>
      </c>
      <c r="B68">
        <f t="array" ref="B68:D68">LINEST(E2:E64,A2:B64,TRUE,TRUE)</f>
        <v>0.83109995559261751</v>
      </c>
      <c r="C68">
        <v>-8.2267210826587061</v>
      </c>
      <c r="D68">
        <v>271.7472236911683</v>
      </c>
    </row>
    <row r="70" spans="1:15" x14ac:dyDescent="0.3">
      <c r="A70" t="s">
        <v>142</v>
      </c>
    </row>
    <row r="71" spans="1:15" ht="15" thickBot="1" x14ac:dyDescent="0.35"/>
    <row r="72" spans="1:15" x14ac:dyDescent="0.3">
      <c r="A72" s="389" t="s">
        <v>143</v>
      </c>
      <c r="B72" s="389"/>
    </row>
    <row r="73" spans="1:15" x14ac:dyDescent="0.3">
      <c r="A73" t="s">
        <v>144</v>
      </c>
      <c r="B73">
        <v>0.94626401458657627</v>
      </c>
    </row>
    <row r="74" spans="1:15" x14ac:dyDescent="0.3">
      <c r="A74" t="s">
        <v>145</v>
      </c>
      <c r="B74">
        <v>0.89541558530150434</v>
      </c>
    </row>
    <row r="75" spans="1:15" x14ac:dyDescent="0.3">
      <c r="A75" t="s">
        <v>146</v>
      </c>
      <c r="B75">
        <v>0.89370108669988968</v>
      </c>
    </row>
    <row r="76" spans="1:15" x14ac:dyDescent="0.3">
      <c r="A76" t="s">
        <v>147</v>
      </c>
      <c r="B76">
        <v>283.97724190856434</v>
      </c>
    </row>
    <row r="77" spans="1:15" ht="15" thickBot="1" x14ac:dyDescent="0.35">
      <c r="A77" s="322" t="s">
        <v>148</v>
      </c>
      <c r="B77" s="322">
        <v>63</v>
      </c>
    </row>
    <row r="79" spans="1:15" ht="15" thickBot="1" x14ac:dyDescent="0.35">
      <c r="A79" t="s">
        <v>149</v>
      </c>
    </row>
    <row r="80" spans="1:15" x14ac:dyDescent="0.3">
      <c r="A80" s="390"/>
      <c r="B80" s="390" t="s">
        <v>153</v>
      </c>
      <c r="C80" s="390" t="s">
        <v>140</v>
      </c>
      <c r="D80" s="390" t="s">
        <v>154</v>
      </c>
      <c r="E80" s="390" t="s">
        <v>155</v>
      </c>
      <c r="F80" s="390" t="s">
        <v>156</v>
      </c>
      <c r="G80" s="391"/>
    </row>
    <row r="81" spans="1:10" x14ac:dyDescent="0.3">
      <c r="A81" t="s">
        <v>150</v>
      </c>
      <c r="B81">
        <v>1</v>
      </c>
      <c r="C81">
        <v>42116724.486313835</v>
      </c>
      <c r="D81">
        <v>42116724.486313835</v>
      </c>
      <c r="E81">
        <v>522.26090150100993</v>
      </c>
      <c r="F81">
        <v>1.33175394666546E-31</v>
      </c>
    </row>
    <row r="82" spans="1:10" x14ac:dyDescent="0.3">
      <c r="A82" t="s">
        <v>151</v>
      </c>
      <c r="B82">
        <v>61</v>
      </c>
      <c r="C82">
        <v>4919227.5092417113</v>
      </c>
      <c r="D82">
        <v>80643.073921995267</v>
      </c>
    </row>
    <row r="83" spans="1:10" ht="15" thickBot="1" x14ac:dyDescent="0.35">
      <c r="A83" s="322" t="s">
        <v>152</v>
      </c>
      <c r="B83" s="322">
        <v>62</v>
      </c>
      <c r="C83" s="322">
        <v>47035951.99555555</v>
      </c>
      <c r="D83" s="322"/>
      <c r="E83" s="322"/>
      <c r="F83" s="322"/>
    </row>
    <row r="84" spans="1:10" ht="15" thickBot="1" x14ac:dyDescent="0.35"/>
    <row r="85" spans="1:10" x14ac:dyDescent="0.3">
      <c r="A85" s="390"/>
      <c r="B85" s="390" t="s">
        <v>157</v>
      </c>
      <c r="C85" s="390" t="s">
        <v>147</v>
      </c>
      <c r="D85" s="390" t="s">
        <v>158</v>
      </c>
      <c r="E85" s="390" t="s">
        <v>159</v>
      </c>
      <c r="F85" s="390" t="s">
        <v>160</v>
      </c>
      <c r="G85" s="390"/>
      <c r="H85" s="390" t="s">
        <v>161</v>
      </c>
      <c r="I85" s="390" t="s">
        <v>162</v>
      </c>
      <c r="J85" s="390" t="s">
        <v>163</v>
      </c>
    </row>
    <row r="86" spans="1:10" x14ac:dyDescent="0.3">
      <c r="A86" t="s">
        <v>124</v>
      </c>
      <c r="B86">
        <v>-304.48207885304691</v>
      </c>
      <c r="C86">
        <v>72.415957214130728</v>
      </c>
      <c r="D86">
        <v>-4.2046268607995767</v>
      </c>
      <c r="E86">
        <v>8.6963824868608274E-5</v>
      </c>
      <c r="F86">
        <v>-449.28673482840725</v>
      </c>
      <c r="H86">
        <v>-159.67742287768661</v>
      </c>
      <c r="I86">
        <v>-449.28673482840725</v>
      </c>
      <c r="J86">
        <v>-159.67742287768661</v>
      </c>
    </row>
    <row r="87" spans="1:10" ht="15" thickBot="1" x14ac:dyDescent="0.35">
      <c r="A87" s="322" t="s">
        <v>234</v>
      </c>
      <c r="B87" s="322">
        <v>44.963676075268829</v>
      </c>
      <c r="C87" s="322">
        <v>1.9675150062032438</v>
      </c>
      <c r="D87" s="322">
        <v>22.853028278567596</v>
      </c>
      <c r="E87" s="322">
        <v>1.3317539466654412E-31</v>
      </c>
      <c r="F87" s="322">
        <v>41.029386665033357</v>
      </c>
      <c r="G87" s="322"/>
      <c r="H87" s="322">
        <v>48.897965485504301</v>
      </c>
      <c r="I87" s="322">
        <v>41.029386665033357</v>
      </c>
      <c r="J87" s="322">
        <v>48.897965485504301</v>
      </c>
    </row>
    <row r="91" spans="1:10" x14ac:dyDescent="0.3">
      <c r="A91" t="s">
        <v>164</v>
      </c>
    </row>
    <row r="92" spans="1:10" ht="15" thickBot="1" x14ac:dyDescent="0.35"/>
    <row r="93" spans="1:10" x14ac:dyDescent="0.3">
      <c r="A93" s="390" t="s">
        <v>125</v>
      </c>
      <c r="B93" s="390" t="s">
        <v>235</v>
      </c>
      <c r="C93" s="390" t="s">
        <v>165</v>
      </c>
    </row>
    <row r="94" spans="1:10" x14ac:dyDescent="0.3">
      <c r="A94">
        <v>1</v>
      </c>
      <c r="B94">
        <v>-259.51840277777808</v>
      </c>
      <c r="C94">
        <v>477.6184027777781</v>
      </c>
    </row>
    <row r="95" spans="1:10" x14ac:dyDescent="0.3">
      <c r="A95">
        <v>2</v>
      </c>
      <c r="B95">
        <v>-214.55472670250924</v>
      </c>
      <c r="C95">
        <v>459.95472670250922</v>
      </c>
    </row>
    <row r="96" spans="1:10" x14ac:dyDescent="0.3">
      <c r="A96">
        <v>3</v>
      </c>
      <c r="B96">
        <v>-169.59105062724043</v>
      </c>
      <c r="C96">
        <v>435.09105062724041</v>
      </c>
    </row>
    <row r="97" spans="1:3" x14ac:dyDescent="0.3">
      <c r="A97">
        <v>4</v>
      </c>
      <c r="B97">
        <v>-124.6273745519716</v>
      </c>
      <c r="C97">
        <v>328.12737455197157</v>
      </c>
    </row>
    <row r="98" spans="1:3" x14ac:dyDescent="0.3">
      <c r="A98">
        <v>5</v>
      </c>
      <c r="B98">
        <v>-79.663698476702763</v>
      </c>
      <c r="C98">
        <v>314.76369847670276</v>
      </c>
    </row>
    <row r="99" spans="1:3" x14ac:dyDescent="0.3">
      <c r="A99">
        <v>6</v>
      </c>
      <c r="B99">
        <v>-34.700022401433955</v>
      </c>
      <c r="C99">
        <v>292.70002240143396</v>
      </c>
    </row>
    <row r="100" spans="1:3" x14ac:dyDescent="0.3">
      <c r="A100">
        <v>7</v>
      </c>
      <c r="B100">
        <v>10.263653673834881</v>
      </c>
      <c r="C100">
        <v>298.1363463261651</v>
      </c>
    </row>
    <row r="101" spans="1:3" x14ac:dyDescent="0.3">
      <c r="A101">
        <v>8</v>
      </c>
      <c r="B101">
        <v>55.227329749103717</v>
      </c>
      <c r="C101">
        <v>156.57267025089629</v>
      </c>
    </row>
    <row r="102" spans="1:3" x14ac:dyDescent="0.3">
      <c r="A102">
        <v>9</v>
      </c>
      <c r="B102">
        <v>100.19100582437255</v>
      </c>
      <c r="C102">
        <v>147.50899417562744</v>
      </c>
    </row>
    <row r="103" spans="1:3" x14ac:dyDescent="0.3">
      <c r="A103">
        <v>10</v>
      </c>
      <c r="B103">
        <v>145.15468189964139</v>
      </c>
      <c r="C103">
        <v>130.64531810035862</v>
      </c>
    </row>
    <row r="104" spans="1:3" x14ac:dyDescent="0.3">
      <c r="A104">
        <v>11</v>
      </c>
      <c r="B104">
        <v>190.11835797491023</v>
      </c>
      <c r="C104">
        <v>104.88164202508977</v>
      </c>
    </row>
    <row r="105" spans="1:3" x14ac:dyDescent="0.3">
      <c r="A105">
        <v>12</v>
      </c>
      <c r="B105">
        <v>235.082034050179</v>
      </c>
      <c r="C105">
        <v>35.017965949821019</v>
      </c>
    </row>
    <row r="106" spans="1:3" x14ac:dyDescent="0.3">
      <c r="A106">
        <v>13</v>
      </c>
      <c r="B106">
        <v>280.04571012544784</v>
      </c>
      <c r="C106">
        <v>35.654289874552148</v>
      </c>
    </row>
    <row r="107" spans="1:3" x14ac:dyDescent="0.3">
      <c r="A107">
        <v>14</v>
      </c>
      <c r="B107">
        <v>325.00938620071668</v>
      </c>
      <c r="C107">
        <v>33.490613799283324</v>
      </c>
    </row>
    <row r="108" spans="1:3" x14ac:dyDescent="0.3">
      <c r="A108">
        <v>15</v>
      </c>
      <c r="B108">
        <v>369.97306227598551</v>
      </c>
      <c r="C108">
        <v>-6.9730622759855123</v>
      </c>
    </row>
    <row r="109" spans="1:3" x14ac:dyDescent="0.3">
      <c r="A109">
        <v>16</v>
      </c>
      <c r="B109">
        <v>414.93673835125435</v>
      </c>
      <c r="C109">
        <v>-112.73673835125436</v>
      </c>
    </row>
    <row r="110" spans="1:3" x14ac:dyDescent="0.3">
      <c r="A110">
        <v>17</v>
      </c>
      <c r="B110">
        <v>459.90041442652318</v>
      </c>
      <c r="C110">
        <v>-52.600414426523173</v>
      </c>
    </row>
    <row r="111" spans="1:3" x14ac:dyDescent="0.3">
      <c r="A111">
        <v>18</v>
      </c>
      <c r="B111">
        <v>504.86409050179202</v>
      </c>
      <c r="C111">
        <v>-21.564090501792009</v>
      </c>
    </row>
    <row r="112" spans="1:3" x14ac:dyDescent="0.3">
      <c r="A112">
        <v>19</v>
      </c>
      <c r="B112">
        <v>549.82776657706086</v>
      </c>
      <c r="C112">
        <v>-86.627766577060868</v>
      </c>
    </row>
    <row r="113" spans="1:3" x14ac:dyDescent="0.3">
      <c r="A113">
        <v>20</v>
      </c>
      <c r="B113">
        <v>594.79144265232969</v>
      </c>
      <c r="C113">
        <v>-168.29144265232969</v>
      </c>
    </row>
    <row r="114" spans="1:3" x14ac:dyDescent="0.3">
      <c r="A114">
        <v>21</v>
      </c>
      <c r="B114">
        <v>639.75511872759853</v>
      </c>
      <c r="C114">
        <v>-188.25511872759853</v>
      </c>
    </row>
    <row r="115" spans="1:3" x14ac:dyDescent="0.3">
      <c r="A115">
        <v>22</v>
      </c>
      <c r="B115">
        <v>684.71879480286736</v>
      </c>
      <c r="C115">
        <v>-137.81879480286739</v>
      </c>
    </row>
    <row r="116" spans="1:3" x14ac:dyDescent="0.3">
      <c r="A116">
        <v>23</v>
      </c>
      <c r="B116">
        <v>729.6824708781362</v>
      </c>
      <c r="C116">
        <v>-139.28247087813622</v>
      </c>
    </row>
    <row r="117" spans="1:3" x14ac:dyDescent="0.3">
      <c r="A117">
        <v>24</v>
      </c>
      <c r="B117">
        <v>774.64614695340492</v>
      </c>
      <c r="C117">
        <v>-270.44614695340493</v>
      </c>
    </row>
    <row r="118" spans="1:3" x14ac:dyDescent="0.3">
      <c r="A118">
        <v>25</v>
      </c>
      <c r="B118">
        <v>819.60982302867387</v>
      </c>
      <c r="C118">
        <v>-227.2098230286739</v>
      </c>
    </row>
    <row r="119" spans="1:3" x14ac:dyDescent="0.3">
      <c r="A119">
        <v>26</v>
      </c>
      <c r="B119">
        <v>864.57349910394259</v>
      </c>
      <c r="C119">
        <v>-216.67349910394262</v>
      </c>
    </row>
    <row r="120" spans="1:3" x14ac:dyDescent="0.3">
      <c r="A120">
        <v>27</v>
      </c>
      <c r="B120">
        <v>909.53717517921154</v>
      </c>
      <c r="C120">
        <v>-183.13717517921157</v>
      </c>
    </row>
    <row r="121" spans="1:3" x14ac:dyDescent="0.3">
      <c r="A121">
        <v>28</v>
      </c>
      <c r="B121">
        <v>954.50085125448027</v>
      </c>
      <c r="C121">
        <v>-199.00085125448027</v>
      </c>
    </row>
    <row r="122" spans="1:3" x14ac:dyDescent="0.3">
      <c r="A122">
        <v>29</v>
      </c>
      <c r="B122">
        <v>999.46452732974922</v>
      </c>
      <c r="C122">
        <v>-233.06452732974924</v>
      </c>
    </row>
    <row r="123" spans="1:3" x14ac:dyDescent="0.3">
      <c r="A123">
        <v>30</v>
      </c>
      <c r="B123">
        <v>1044.4282034050179</v>
      </c>
      <c r="C123">
        <v>-225.02820340501796</v>
      </c>
    </row>
    <row r="124" spans="1:3" x14ac:dyDescent="0.3">
      <c r="A124">
        <v>31</v>
      </c>
      <c r="B124">
        <v>1089.3918794802869</v>
      </c>
      <c r="C124">
        <v>-459.29187948028687</v>
      </c>
    </row>
    <row r="125" spans="1:3" x14ac:dyDescent="0.3">
      <c r="A125">
        <v>32</v>
      </c>
      <c r="B125">
        <v>1134.3555555555556</v>
      </c>
      <c r="C125">
        <v>-399.75555555555559</v>
      </c>
    </row>
    <row r="126" spans="1:3" x14ac:dyDescent="0.3">
      <c r="A126">
        <v>33</v>
      </c>
      <c r="B126">
        <v>1179.3192316308243</v>
      </c>
      <c r="C126">
        <v>-404.81923163082433</v>
      </c>
    </row>
    <row r="127" spans="1:3" x14ac:dyDescent="0.3">
      <c r="A127">
        <v>34</v>
      </c>
      <c r="B127">
        <v>1224.2829077060933</v>
      </c>
      <c r="C127">
        <v>-308.58290770609324</v>
      </c>
    </row>
    <row r="128" spans="1:3" x14ac:dyDescent="0.3">
      <c r="A128">
        <v>35</v>
      </c>
      <c r="B128">
        <v>1269.246583781362</v>
      </c>
      <c r="C128">
        <v>-255.84658378136203</v>
      </c>
    </row>
    <row r="129" spans="1:3" x14ac:dyDescent="0.3">
      <c r="A129">
        <v>36</v>
      </c>
      <c r="B129">
        <v>1314.210259856631</v>
      </c>
      <c r="C129">
        <v>-270.61025985663105</v>
      </c>
    </row>
    <row r="130" spans="1:3" x14ac:dyDescent="0.3">
      <c r="A130">
        <v>37</v>
      </c>
      <c r="B130">
        <v>1359.1739359318997</v>
      </c>
      <c r="C130">
        <v>-321.27393593189959</v>
      </c>
    </row>
    <row r="131" spans="1:3" x14ac:dyDescent="0.3">
      <c r="A131">
        <v>38</v>
      </c>
      <c r="B131">
        <v>1404.1376120071686</v>
      </c>
      <c r="C131">
        <v>-236.53761200716872</v>
      </c>
    </row>
    <row r="132" spans="1:3" x14ac:dyDescent="0.3">
      <c r="A132">
        <v>39</v>
      </c>
      <c r="B132">
        <v>1449.1012880824373</v>
      </c>
      <c r="C132">
        <v>-104.00128808243744</v>
      </c>
    </row>
    <row r="133" spans="1:3" x14ac:dyDescent="0.3">
      <c r="A133">
        <v>40</v>
      </c>
      <c r="B133">
        <v>1494.0649641577063</v>
      </c>
      <c r="C133">
        <v>-205.86496415770625</v>
      </c>
    </row>
    <row r="134" spans="1:3" x14ac:dyDescent="0.3">
      <c r="A134">
        <v>41</v>
      </c>
      <c r="B134">
        <v>1539.028640232975</v>
      </c>
      <c r="C134">
        <v>-235.22864023297507</v>
      </c>
    </row>
    <row r="135" spans="1:3" x14ac:dyDescent="0.3">
      <c r="A135">
        <v>42</v>
      </c>
      <c r="B135">
        <v>1583.992316308244</v>
      </c>
      <c r="C135">
        <v>-44.492316308243971</v>
      </c>
    </row>
    <row r="136" spans="1:3" x14ac:dyDescent="0.3">
      <c r="A136">
        <v>43</v>
      </c>
      <c r="B136">
        <v>1628.9559923835127</v>
      </c>
      <c r="C136">
        <v>83.244007616487352</v>
      </c>
    </row>
    <row r="137" spans="1:3" x14ac:dyDescent="0.3">
      <c r="A137">
        <v>44</v>
      </c>
      <c r="B137">
        <v>1673.9196684587816</v>
      </c>
      <c r="C137">
        <v>-181.51966845878155</v>
      </c>
    </row>
    <row r="138" spans="1:3" x14ac:dyDescent="0.3">
      <c r="A138">
        <v>45</v>
      </c>
      <c r="B138">
        <v>1718.8833445340504</v>
      </c>
      <c r="C138">
        <v>-279.88334453405037</v>
      </c>
    </row>
    <row r="139" spans="1:3" x14ac:dyDescent="0.3">
      <c r="A139">
        <v>46</v>
      </c>
      <c r="B139">
        <v>1763.8470206093193</v>
      </c>
      <c r="C139">
        <v>-252.24702060931941</v>
      </c>
    </row>
    <row r="140" spans="1:3" x14ac:dyDescent="0.3">
      <c r="A140">
        <v>47</v>
      </c>
      <c r="B140">
        <v>1808.810696684588</v>
      </c>
      <c r="C140">
        <v>-69.410696684587947</v>
      </c>
    </row>
    <row r="141" spans="1:3" x14ac:dyDescent="0.3">
      <c r="A141">
        <v>48</v>
      </c>
      <c r="B141">
        <v>1853.7743727598568</v>
      </c>
      <c r="C141">
        <v>82.825627240143149</v>
      </c>
    </row>
    <row r="142" spans="1:3" x14ac:dyDescent="0.3">
      <c r="A142">
        <v>49</v>
      </c>
      <c r="B142">
        <v>1898.7380488351255</v>
      </c>
      <c r="C142">
        <v>-243.63804883512557</v>
      </c>
    </row>
    <row r="143" spans="1:3" x14ac:dyDescent="0.3">
      <c r="A143">
        <v>50</v>
      </c>
      <c r="B143">
        <v>1943.7017249103947</v>
      </c>
      <c r="C143">
        <v>-90.20172491039466</v>
      </c>
    </row>
    <row r="144" spans="1:3" x14ac:dyDescent="0.3">
      <c r="A144">
        <v>51</v>
      </c>
      <c r="B144">
        <v>1988.6654009856634</v>
      </c>
      <c r="C144">
        <v>90.434599014336527</v>
      </c>
    </row>
    <row r="145" spans="1:3" x14ac:dyDescent="0.3">
      <c r="A145">
        <v>52</v>
      </c>
      <c r="B145">
        <v>2033.6290770609321</v>
      </c>
      <c r="C145">
        <v>357.77092293906799</v>
      </c>
    </row>
    <row r="146" spans="1:3" x14ac:dyDescent="0.3">
      <c r="A146">
        <v>53</v>
      </c>
      <c r="B146">
        <v>2078.5927531362008</v>
      </c>
      <c r="C146">
        <v>-52.092753136200827</v>
      </c>
    </row>
    <row r="147" spans="1:3" x14ac:dyDescent="0.3">
      <c r="A147">
        <v>54</v>
      </c>
      <c r="B147">
        <v>2123.55642921147</v>
      </c>
      <c r="C147">
        <v>-186.75642921147005</v>
      </c>
    </row>
    <row r="148" spans="1:3" x14ac:dyDescent="0.3">
      <c r="A148">
        <v>55</v>
      </c>
      <c r="B148">
        <v>2168.5201052867387</v>
      </c>
      <c r="C148">
        <v>5.9798947132612739</v>
      </c>
    </row>
    <row r="149" spans="1:3" x14ac:dyDescent="0.3">
      <c r="A149">
        <v>56</v>
      </c>
      <c r="B149">
        <v>2213.4837813620074</v>
      </c>
      <c r="C149">
        <v>513.81621863799273</v>
      </c>
    </row>
    <row r="150" spans="1:3" x14ac:dyDescent="0.3">
      <c r="A150">
        <v>57</v>
      </c>
      <c r="B150">
        <v>2258.4474574372762</v>
      </c>
      <c r="C150">
        <v>17.352542562724011</v>
      </c>
    </row>
    <row r="151" spans="1:3" x14ac:dyDescent="0.3">
      <c r="A151">
        <v>58</v>
      </c>
      <c r="B151">
        <v>2303.4111335125453</v>
      </c>
      <c r="C151">
        <v>50.188866487454561</v>
      </c>
    </row>
    <row r="152" spans="1:3" x14ac:dyDescent="0.3">
      <c r="A152">
        <v>59</v>
      </c>
      <c r="B152">
        <v>2348.3748095878141</v>
      </c>
      <c r="C152">
        <v>350.02519041218602</v>
      </c>
    </row>
    <row r="153" spans="1:3" x14ac:dyDescent="0.3">
      <c r="A153">
        <v>60</v>
      </c>
      <c r="B153">
        <v>2393.3384856630828</v>
      </c>
      <c r="C153">
        <v>908.36151433691703</v>
      </c>
    </row>
    <row r="154" spans="1:3" x14ac:dyDescent="0.3">
      <c r="A154">
        <v>61</v>
      </c>
      <c r="B154">
        <v>2438.3021617383515</v>
      </c>
      <c r="C154">
        <v>484.49783826164867</v>
      </c>
    </row>
    <row r="155" spans="1:3" x14ac:dyDescent="0.3">
      <c r="A155">
        <v>62</v>
      </c>
      <c r="B155">
        <v>2483.2658378136207</v>
      </c>
      <c r="C155">
        <v>280.73416218637931</v>
      </c>
    </row>
    <row r="156" spans="1:3" ht="15" thickBot="1" x14ac:dyDescent="0.35">
      <c r="A156" s="322">
        <v>63</v>
      </c>
      <c r="B156" s="322">
        <v>2528.2295138888894</v>
      </c>
      <c r="C156" s="322">
        <v>595.37048611111049</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DE33A5-48B3-491A-873C-1227C6E71E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Linear Regression</vt:lpstr>
      <vt:lpstr>Multi-Regr</vt:lpstr>
      <vt:lpstr>ACF</vt:lpstr>
      <vt:lpstr>Time Series</vt:lpstr>
      <vt:lpstr>Time Series 2</vt:lpstr>
      <vt:lpstr>MultiplicativeModel</vt:lpstr>
      <vt:lpstr>ARIMA</vt:lpstr>
      <vt:lpstr>Holt's Method</vt:lpstr>
      <vt:lpstr>Timeseries</vt:lpstr>
      <vt:lpstr>month</vt:lpstr>
      <vt:lpstr>origsales</vt:lpstr>
      <vt:lpstr>period</vt:lpstr>
      <vt:lpstr>sales</vt:lpstr>
      <vt:lpstr>sindex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 Srevats</dc:creator>
  <cp:lastModifiedBy>Seth, Imon</cp:lastModifiedBy>
  <dcterms:created xsi:type="dcterms:W3CDTF">2013-12-11T16:27:29Z</dcterms:created>
  <dcterms:modified xsi:type="dcterms:W3CDTF">2021-03-28T07:05:20Z</dcterms:modified>
</cp:coreProperties>
</file>