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68c1ad8445358e1/Desktop/"/>
    </mc:Choice>
  </mc:AlternateContent>
  <xr:revisionPtr revIDLastSave="558" documentId="8_{AEC69789-A9F5-4393-B3D8-6E651CDF8C50}" xr6:coauthVersionLast="47" xr6:coauthVersionMax="47" xr10:uidLastSave="{6C824983-17DC-49B6-ABBA-FBFF0E9EC881}"/>
  <bookViews>
    <workbookView xWindow="-108" yWindow="-108" windowWidth="23256" windowHeight="12456" activeTab="3" xr2:uid="{00000000-000D-0000-FFFF-FFFF00000000}"/>
  </bookViews>
  <sheets>
    <sheet name="Financials&gt;" sheetId="9" r:id="rId1"/>
    <sheet name="HistoricalFS" sheetId="7" r:id="rId2"/>
    <sheet name="Ratio Analysis" sheetId="12" r:id="rId3"/>
    <sheet name="Common Size Statement" sheetId="14" r:id="rId4"/>
    <sheet name="Peer Analysis" sheetId="13" r:id="rId5"/>
    <sheet name="Data&gt;" sheetId="8" r:id="rId6"/>
    <sheet name="Data Sheet" sheetId="6" r:id="rId7"/>
    <sheet name="Cash Flow Data" sheetId="11" r:id="rId8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7" l="1"/>
  <c r="C9" i="7" l="1"/>
  <c r="B1" i="11"/>
  <c r="C38" i="14" l="1"/>
  <c r="D38" i="14"/>
  <c r="E38" i="14"/>
  <c r="F38" i="14"/>
  <c r="G38" i="14"/>
  <c r="H38" i="14"/>
  <c r="I38" i="14"/>
  <c r="J38" i="14"/>
  <c r="K38" i="14"/>
  <c r="L38" i="14"/>
  <c r="C39" i="14"/>
  <c r="D39" i="14"/>
  <c r="E39" i="14"/>
  <c r="F39" i="14"/>
  <c r="G39" i="14"/>
  <c r="H39" i="14"/>
  <c r="I39" i="14"/>
  <c r="J39" i="14"/>
  <c r="K39" i="14"/>
  <c r="L39" i="14"/>
  <c r="D37" i="14"/>
  <c r="E37" i="14"/>
  <c r="F37" i="14"/>
  <c r="G37" i="14"/>
  <c r="H37" i="14"/>
  <c r="I37" i="14"/>
  <c r="J37" i="14"/>
  <c r="K37" i="14"/>
  <c r="L37" i="14"/>
  <c r="C37" i="14"/>
  <c r="D36" i="14"/>
  <c r="E36" i="14"/>
  <c r="F36" i="14"/>
  <c r="G36" i="14"/>
  <c r="H36" i="14"/>
  <c r="I36" i="14"/>
  <c r="J36" i="14"/>
  <c r="K36" i="14"/>
  <c r="L36" i="14"/>
  <c r="C36" i="14"/>
  <c r="C34" i="14"/>
  <c r="D34" i="14"/>
  <c r="E34" i="14"/>
  <c r="F34" i="14"/>
  <c r="G34" i="14"/>
  <c r="H34" i="14"/>
  <c r="I34" i="14"/>
  <c r="J34" i="14"/>
  <c r="K34" i="14"/>
  <c r="L34" i="14"/>
  <c r="C35" i="14"/>
  <c r="D35" i="14"/>
  <c r="E35" i="14"/>
  <c r="F35" i="14"/>
  <c r="G35" i="14"/>
  <c r="H35" i="14"/>
  <c r="I35" i="14"/>
  <c r="J35" i="14"/>
  <c r="K35" i="14"/>
  <c r="L35" i="14"/>
  <c r="D33" i="14"/>
  <c r="E33" i="14"/>
  <c r="F33" i="14"/>
  <c r="G33" i="14"/>
  <c r="H33" i="14"/>
  <c r="I33" i="14"/>
  <c r="J33" i="14"/>
  <c r="K33" i="14"/>
  <c r="L33" i="14"/>
  <c r="C33" i="14"/>
  <c r="D32" i="14"/>
  <c r="E32" i="14"/>
  <c r="F32" i="14"/>
  <c r="G32" i="14"/>
  <c r="H32" i="14"/>
  <c r="I32" i="14"/>
  <c r="J32" i="14"/>
  <c r="K32" i="14"/>
  <c r="L32" i="14"/>
  <c r="C32" i="14"/>
  <c r="C28" i="14"/>
  <c r="D28" i="14"/>
  <c r="E28" i="14"/>
  <c r="F28" i="14"/>
  <c r="G28" i="14"/>
  <c r="H28" i="14"/>
  <c r="I28" i="14"/>
  <c r="J28" i="14"/>
  <c r="K28" i="14"/>
  <c r="L28" i="14"/>
  <c r="C29" i="14"/>
  <c r="D29" i="14"/>
  <c r="E29" i="14"/>
  <c r="F29" i="14"/>
  <c r="G29" i="14"/>
  <c r="H29" i="14"/>
  <c r="I29" i="14"/>
  <c r="J29" i="14"/>
  <c r="K29" i="14"/>
  <c r="L29" i="14"/>
  <c r="C30" i="14"/>
  <c r="D30" i="14"/>
  <c r="E30" i="14"/>
  <c r="F30" i="14"/>
  <c r="G30" i="14"/>
  <c r="H30" i="14"/>
  <c r="I30" i="14"/>
  <c r="J30" i="14"/>
  <c r="K30" i="14"/>
  <c r="L30" i="14"/>
  <c r="D27" i="14"/>
  <c r="E27" i="14"/>
  <c r="F27" i="14"/>
  <c r="G27" i="14"/>
  <c r="H27" i="14"/>
  <c r="I27" i="14"/>
  <c r="J27" i="14"/>
  <c r="K27" i="14"/>
  <c r="L27" i="14"/>
  <c r="C27" i="14"/>
  <c r="D26" i="14"/>
  <c r="E26" i="14"/>
  <c r="F26" i="14"/>
  <c r="G26" i="14"/>
  <c r="H26" i="14"/>
  <c r="I26" i="14"/>
  <c r="J26" i="14"/>
  <c r="K26" i="14"/>
  <c r="L26" i="14"/>
  <c r="C26" i="14"/>
  <c r="B33" i="14"/>
  <c r="B28" i="14"/>
  <c r="B29" i="14"/>
  <c r="B30" i="14"/>
  <c r="B34" i="14"/>
  <c r="B35" i="14"/>
  <c r="B36" i="14"/>
  <c r="B37" i="14"/>
  <c r="B38" i="14"/>
  <c r="B39" i="14"/>
  <c r="B27" i="14"/>
  <c r="B23" i="14"/>
  <c r="L24" i="14"/>
  <c r="K24" i="14"/>
  <c r="J24" i="14"/>
  <c r="I24" i="14"/>
  <c r="H24" i="14"/>
  <c r="G24" i="14"/>
  <c r="F24" i="14"/>
  <c r="E24" i="14"/>
  <c r="D24" i="14"/>
  <c r="C24" i="14"/>
  <c r="D3" i="14"/>
  <c r="E3" i="14"/>
  <c r="F3" i="14"/>
  <c r="G3" i="14"/>
  <c r="H3" i="14"/>
  <c r="I3" i="14"/>
  <c r="J3" i="14"/>
  <c r="K3" i="14"/>
  <c r="L3" i="14"/>
  <c r="C3" i="14"/>
  <c r="B2" i="14"/>
  <c r="D20" i="14"/>
  <c r="E20" i="14"/>
  <c r="F20" i="14"/>
  <c r="G20" i="14"/>
  <c r="H20" i="14"/>
  <c r="I20" i="14"/>
  <c r="J20" i="14"/>
  <c r="K20" i="14"/>
  <c r="L20" i="14"/>
  <c r="C6" i="14"/>
  <c r="D6" i="14"/>
  <c r="E6" i="14"/>
  <c r="F6" i="14"/>
  <c r="G6" i="14"/>
  <c r="H6" i="14"/>
  <c r="I6" i="14"/>
  <c r="J6" i="14"/>
  <c r="K6" i="14"/>
  <c r="L6" i="14"/>
  <c r="C7" i="14"/>
  <c r="D7" i="14"/>
  <c r="E7" i="14"/>
  <c r="F7" i="14"/>
  <c r="G7" i="14"/>
  <c r="H7" i="14"/>
  <c r="I7" i="14"/>
  <c r="J7" i="14"/>
  <c r="K7" i="14"/>
  <c r="L7" i="14"/>
  <c r="C8" i="14"/>
  <c r="D8" i="14"/>
  <c r="E8" i="14"/>
  <c r="F8" i="14"/>
  <c r="G8" i="14"/>
  <c r="H8" i="14"/>
  <c r="I8" i="14"/>
  <c r="J8" i="14"/>
  <c r="K8" i="14"/>
  <c r="L8" i="14"/>
  <c r="C9" i="14"/>
  <c r="D9" i="14"/>
  <c r="E9" i="14"/>
  <c r="F9" i="14"/>
  <c r="G9" i="14"/>
  <c r="H9" i="14"/>
  <c r="I9" i="14"/>
  <c r="J9" i="14"/>
  <c r="K9" i="14"/>
  <c r="L9" i="14"/>
  <c r="C10" i="14"/>
  <c r="D10" i="14"/>
  <c r="E10" i="14"/>
  <c r="F10" i="14"/>
  <c r="G10" i="14"/>
  <c r="H10" i="14"/>
  <c r="I10" i="14"/>
  <c r="J10" i="14"/>
  <c r="K10" i="14"/>
  <c r="L10" i="14"/>
  <c r="C11" i="14"/>
  <c r="D11" i="14"/>
  <c r="E11" i="14"/>
  <c r="F11" i="14"/>
  <c r="G11" i="14"/>
  <c r="H11" i="14"/>
  <c r="I11" i="14"/>
  <c r="J11" i="14"/>
  <c r="K11" i="14"/>
  <c r="L11" i="14"/>
  <c r="C12" i="14"/>
  <c r="D12" i="14"/>
  <c r="E12" i="14"/>
  <c r="F12" i="14"/>
  <c r="G12" i="14"/>
  <c r="H12" i="14"/>
  <c r="I12" i="14"/>
  <c r="J12" i="14"/>
  <c r="K12" i="14"/>
  <c r="L12" i="14"/>
  <c r="C13" i="14"/>
  <c r="D13" i="14"/>
  <c r="E13" i="14"/>
  <c r="F13" i="14"/>
  <c r="G13" i="14"/>
  <c r="H13" i="14"/>
  <c r="I13" i="14"/>
  <c r="J13" i="14"/>
  <c r="K13" i="14"/>
  <c r="L13" i="14"/>
  <c r="C14" i="14"/>
  <c r="D14" i="14"/>
  <c r="E14" i="14"/>
  <c r="F14" i="14"/>
  <c r="G14" i="14"/>
  <c r="H14" i="14"/>
  <c r="I14" i="14"/>
  <c r="J14" i="14"/>
  <c r="K14" i="14"/>
  <c r="L14" i="14"/>
  <c r="C15" i="14"/>
  <c r="D15" i="14"/>
  <c r="E15" i="14"/>
  <c r="F15" i="14"/>
  <c r="G15" i="14"/>
  <c r="H15" i="14"/>
  <c r="I15" i="14"/>
  <c r="J15" i="14"/>
  <c r="K15" i="14"/>
  <c r="L15" i="14"/>
  <c r="C16" i="14"/>
  <c r="D16" i="14"/>
  <c r="E16" i="14"/>
  <c r="F16" i="14"/>
  <c r="G16" i="14"/>
  <c r="H16" i="14"/>
  <c r="I16" i="14"/>
  <c r="J16" i="14"/>
  <c r="K16" i="14"/>
  <c r="L16" i="14"/>
  <c r="C17" i="14"/>
  <c r="D17" i="14"/>
  <c r="E17" i="14"/>
  <c r="F17" i="14"/>
  <c r="G17" i="14"/>
  <c r="H17" i="14"/>
  <c r="I17" i="14"/>
  <c r="J17" i="14"/>
  <c r="K17" i="14"/>
  <c r="L17" i="14"/>
  <c r="C18" i="14"/>
  <c r="D18" i="14"/>
  <c r="E18" i="14"/>
  <c r="F18" i="14"/>
  <c r="G18" i="14"/>
  <c r="H18" i="14"/>
  <c r="I18" i="14"/>
  <c r="J18" i="14"/>
  <c r="K18" i="14"/>
  <c r="L18" i="14"/>
  <c r="C19" i="14"/>
  <c r="D19" i="14"/>
  <c r="E19" i="14"/>
  <c r="F19" i="14"/>
  <c r="G19" i="14"/>
  <c r="H19" i="14"/>
  <c r="I19" i="14"/>
  <c r="J19" i="14"/>
  <c r="K19" i="14"/>
  <c r="L19" i="14"/>
  <c r="D5" i="14"/>
  <c r="E5" i="14"/>
  <c r="F5" i="14"/>
  <c r="G5" i="14"/>
  <c r="H5" i="14"/>
  <c r="I5" i="14"/>
  <c r="J5" i="14"/>
  <c r="K5" i="14"/>
  <c r="L5" i="14"/>
  <c r="C5" i="14"/>
  <c r="B19" i="14"/>
  <c r="B16" i="14"/>
  <c r="B17" i="14"/>
  <c r="B18" i="14"/>
  <c r="B6" i="14"/>
  <c r="B7" i="14"/>
  <c r="B8" i="14"/>
  <c r="B9" i="14"/>
  <c r="B10" i="14"/>
  <c r="B11" i="14"/>
  <c r="B12" i="14"/>
  <c r="B13" i="14"/>
  <c r="B14" i="14"/>
  <c r="B15" i="14"/>
  <c r="B5" i="14"/>
  <c r="O18" i="12"/>
  <c r="O19" i="12"/>
  <c r="O28" i="12"/>
  <c r="O29" i="12"/>
  <c r="O30" i="12"/>
  <c r="O31" i="12"/>
  <c r="O32" i="12"/>
  <c r="O34" i="12"/>
  <c r="O35" i="12"/>
  <c r="O36" i="12"/>
  <c r="O37" i="12"/>
  <c r="O39" i="12"/>
  <c r="O40" i="12"/>
  <c r="O41" i="12"/>
  <c r="O10" i="12"/>
  <c r="O5" i="12"/>
  <c r="N18" i="12"/>
  <c r="N19" i="12"/>
  <c r="N28" i="12"/>
  <c r="N29" i="12"/>
  <c r="N30" i="12"/>
  <c r="N31" i="12"/>
  <c r="N32" i="12"/>
  <c r="N34" i="12"/>
  <c r="N35" i="12"/>
  <c r="N36" i="12"/>
  <c r="N37" i="12"/>
  <c r="N39" i="12"/>
  <c r="N40" i="12"/>
  <c r="N41" i="12"/>
  <c r="N10" i="12"/>
  <c r="N5" i="12"/>
  <c r="D39" i="12"/>
  <c r="E39" i="12"/>
  <c r="F39" i="12"/>
  <c r="G39" i="12"/>
  <c r="H39" i="12"/>
  <c r="I39" i="12"/>
  <c r="J39" i="12"/>
  <c r="K39" i="12"/>
  <c r="L39" i="12"/>
  <c r="D40" i="12"/>
  <c r="E40" i="12"/>
  <c r="F40" i="12"/>
  <c r="G40" i="12"/>
  <c r="H40" i="12"/>
  <c r="I40" i="12"/>
  <c r="J40" i="12"/>
  <c r="K40" i="12"/>
  <c r="L40" i="12"/>
  <c r="D41" i="12"/>
  <c r="E41" i="12"/>
  <c r="F41" i="12"/>
  <c r="G41" i="12"/>
  <c r="H41" i="12"/>
  <c r="I41" i="12"/>
  <c r="J41" i="12"/>
  <c r="K41" i="12"/>
  <c r="L41" i="12"/>
  <c r="C41" i="12"/>
  <c r="C40" i="12"/>
  <c r="C39" i="12"/>
  <c r="D34" i="12"/>
  <c r="G34" i="12"/>
  <c r="I34" i="12"/>
  <c r="L34" i="12"/>
  <c r="F35" i="12"/>
  <c r="H35" i="12"/>
  <c r="K35" i="12"/>
  <c r="E36" i="12"/>
  <c r="G36" i="12"/>
  <c r="J36" i="12"/>
  <c r="D28" i="12"/>
  <c r="E28" i="12"/>
  <c r="E34" i="12" s="1"/>
  <c r="F28" i="12"/>
  <c r="F34" i="12" s="1"/>
  <c r="G28" i="12"/>
  <c r="H28" i="12"/>
  <c r="H34" i="12" s="1"/>
  <c r="I28" i="12"/>
  <c r="J28" i="12"/>
  <c r="J34" i="12" s="1"/>
  <c r="K28" i="12"/>
  <c r="K34" i="12" s="1"/>
  <c r="K37" i="12" s="1"/>
  <c r="L28" i="12"/>
  <c r="D29" i="12"/>
  <c r="D35" i="12" s="1"/>
  <c r="E29" i="12"/>
  <c r="E35" i="12" s="1"/>
  <c r="F29" i="12"/>
  <c r="G29" i="12"/>
  <c r="G35" i="12" s="1"/>
  <c r="H29" i="12"/>
  <c r="I29" i="12"/>
  <c r="I35" i="12" s="1"/>
  <c r="J29" i="12"/>
  <c r="J35" i="12" s="1"/>
  <c r="K29" i="12"/>
  <c r="L29" i="12"/>
  <c r="L35" i="12" s="1"/>
  <c r="D30" i="12"/>
  <c r="D36" i="12" s="1"/>
  <c r="D37" i="12" s="1"/>
  <c r="E30" i="12"/>
  <c r="F30" i="12"/>
  <c r="F36" i="12" s="1"/>
  <c r="G30" i="12"/>
  <c r="H30" i="12"/>
  <c r="H36" i="12" s="1"/>
  <c r="I30" i="12"/>
  <c r="I36" i="12" s="1"/>
  <c r="J30" i="12"/>
  <c r="K30" i="12"/>
  <c r="K36" i="12" s="1"/>
  <c r="L30" i="12"/>
  <c r="L36" i="12" s="1"/>
  <c r="D31" i="12"/>
  <c r="E31" i="12"/>
  <c r="F31" i="12"/>
  <c r="G31" i="12"/>
  <c r="H31" i="12"/>
  <c r="I31" i="12"/>
  <c r="J31" i="12"/>
  <c r="K31" i="12"/>
  <c r="L31" i="12"/>
  <c r="D32" i="12"/>
  <c r="E32" i="12"/>
  <c r="F32" i="12"/>
  <c r="G32" i="12"/>
  <c r="H32" i="12"/>
  <c r="I32" i="12"/>
  <c r="J32" i="12"/>
  <c r="K32" i="12"/>
  <c r="L32" i="12"/>
  <c r="C32" i="12"/>
  <c r="C31" i="12"/>
  <c r="C30" i="12"/>
  <c r="C36" i="12" s="1"/>
  <c r="C29" i="12"/>
  <c r="C35" i="12" s="1"/>
  <c r="C28" i="12"/>
  <c r="C34" i="12" s="1"/>
  <c r="D26" i="12"/>
  <c r="E26" i="12"/>
  <c r="F26" i="12"/>
  <c r="G26" i="12"/>
  <c r="H26" i="12"/>
  <c r="I26" i="12"/>
  <c r="J26" i="12"/>
  <c r="K26" i="12"/>
  <c r="L26" i="12"/>
  <c r="D24" i="12"/>
  <c r="E24" i="12"/>
  <c r="F24" i="12"/>
  <c r="G24" i="12"/>
  <c r="H24" i="12"/>
  <c r="I24" i="12"/>
  <c r="J24" i="12"/>
  <c r="K24" i="12"/>
  <c r="L24" i="12"/>
  <c r="L25" i="12" s="1"/>
  <c r="D22" i="12"/>
  <c r="E22" i="12"/>
  <c r="F22" i="12"/>
  <c r="G22" i="12"/>
  <c r="H22" i="12"/>
  <c r="I22" i="12"/>
  <c r="J22" i="12"/>
  <c r="K22" i="12"/>
  <c r="L22" i="12"/>
  <c r="D23" i="12"/>
  <c r="D25" i="12" s="1"/>
  <c r="E23" i="12"/>
  <c r="F23" i="12"/>
  <c r="F25" i="12" s="1"/>
  <c r="G23" i="12"/>
  <c r="G25" i="12" s="1"/>
  <c r="H23" i="12"/>
  <c r="I23" i="12"/>
  <c r="I25" i="12" s="1"/>
  <c r="J23" i="12"/>
  <c r="K23" i="12"/>
  <c r="L23" i="12"/>
  <c r="D67" i="7"/>
  <c r="E67" i="7"/>
  <c r="F67" i="7"/>
  <c r="G67" i="7"/>
  <c r="H67" i="7"/>
  <c r="I67" i="7"/>
  <c r="J67" i="7"/>
  <c r="K67" i="7"/>
  <c r="L67" i="7"/>
  <c r="C67" i="7"/>
  <c r="D60" i="7"/>
  <c r="E60" i="7"/>
  <c r="F60" i="7"/>
  <c r="G60" i="7"/>
  <c r="H60" i="7"/>
  <c r="I60" i="7"/>
  <c r="J60" i="7"/>
  <c r="K60" i="7"/>
  <c r="L60" i="7"/>
  <c r="C60" i="7"/>
  <c r="D54" i="7"/>
  <c r="E54" i="7"/>
  <c r="F54" i="7"/>
  <c r="G54" i="7"/>
  <c r="H54" i="7"/>
  <c r="I54" i="7"/>
  <c r="J54" i="7"/>
  <c r="K54" i="7"/>
  <c r="L54" i="7"/>
  <c r="C54" i="7"/>
  <c r="B2" i="12"/>
  <c r="L3" i="12"/>
  <c r="K3" i="12"/>
  <c r="J3" i="12"/>
  <c r="I3" i="12"/>
  <c r="H3" i="12"/>
  <c r="G3" i="12"/>
  <c r="F3" i="12"/>
  <c r="E3" i="12"/>
  <c r="D3" i="12"/>
  <c r="C3" i="12"/>
  <c r="C77" i="7"/>
  <c r="D73" i="7"/>
  <c r="E73" i="7"/>
  <c r="F73" i="7"/>
  <c r="G73" i="7"/>
  <c r="H73" i="7"/>
  <c r="I73" i="7"/>
  <c r="J73" i="7"/>
  <c r="K73" i="7"/>
  <c r="L73" i="7"/>
  <c r="D74" i="7"/>
  <c r="E74" i="7"/>
  <c r="F74" i="7"/>
  <c r="G74" i="7"/>
  <c r="H74" i="7"/>
  <c r="I74" i="7"/>
  <c r="J74" i="7"/>
  <c r="K74" i="7"/>
  <c r="L74" i="7"/>
  <c r="D75" i="7"/>
  <c r="E75" i="7"/>
  <c r="F75" i="7"/>
  <c r="G75" i="7"/>
  <c r="H75" i="7"/>
  <c r="I75" i="7"/>
  <c r="J75" i="7"/>
  <c r="K75" i="7"/>
  <c r="L75" i="7"/>
  <c r="C74" i="7"/>
  <c r="C75" i="7"/>
  <c r="C73" i="7"/>
  <c r="D107" i="7"/>
  <c r="E107" i="7"/>
  <c r="F107" i="7"/>
  <c r="G107" i="7"/>
  <c r="H107" i="7"/>
  <c r="I107" i="7"/>
  <c r="J107" i="7"/>
  <c r="K107" i="7"/>
  <c r="L107" i="7"/>
  <c r="D108" i="7"/>
  <c r="E108" i="7"/>
  <c r="F108" i="7"/>
  <c r="G108" i="7"/>
  <c r="H108" i="7"/>
  <c r="I108" i="7"/>
  <c r="J108" i="7"/>
  <c r="K108" i="7"/>
  <c r="L108" i="7"/>
  <c r="D109" i="7"/>
  <c r="E109" i="7"/>
  <c r="F109" i="7"/>
  <c r="G109" i="7"/>
  <c r="H109" i="7"/>
  <c r="I109" i="7"/>
  <c r="J109" i="7"/>
  <c r="K109" i="7"/>
  <c r="L109" i="7"/>
  <c r="D110" i="7"/>
  <c r="E110" i="7"/>
  <c r="F110" i="7"/>
  <c r="G110" i="7"/>
  <c r="H110" i="7"/>
  <c r="I110" i="7"/>
  <c r="J110" i="7"/>
  <c r="K110" i="7"/>
  <c r="L110" i="7"/>
  <c r="D111" i="7"/>
  <c r="E111" i="7"/>
  <c r="F111" i="7"/>
  <c r="G111" i="7"/>
  <c r="H111" i="7"/>
  <c r="I111" i="7"/>
  <c r="J111" i="7"/>
  <c r="K111" i="7"/>
  <c r="L111" i="7"/>
  <c r="D112" i="7"/>
  <c r="E112" i="7"/>
  <c r="F112" i="7"/>
  <c r="G112" i="7"/>
  <c r="H112" i="7"/>
  <c r="I112" i="7"/>
  <c r="J112" i="7"/>
  <c r="K112" i="7"/>
  <c r="L112" i="7"/>
  <c r="D113" i="7"/>
  <c r="E113" i="7"/>
  <c r="F113" i="7"/>
  <c r="G113" i="7"/>
  <c r="H113" i="7"/>
  <c r="I113" i="7"/>
  <c r="J113" i="7"/>
  <c r="K113" i="7"/>
  <c r="L113" i="7"/>
  <c r="D114" i="7"/>
  <c r="E114" i="7"/>
  <c r="F114" i="7"/>
  <c r="G114" i="7"/>
  <c r="H114" i="7"/>
  <c r="I114" i="7"/>
  <c r="J114" i="7"/>
  <c r="K114" i="7"/>
  <c r="L114" i="7"/>
  <c r="C108" i="7"/>
  <c r="C109" i="7"/>
  <c r="C110" i="7"/>
  <c r="C111" i="7"/>
  <c r="C112" i="7"/>
  <c r="C113" i="7"/>
  <c r="C114" i="7"/>
  <c r="C107" i="7"/>
  <c r="D93" i="7"/>
  <c r="E93" i="7"/>
  <c r="F93" i="7"/>
  <c r="G93" i="7"/>
  <c r="H93" i="7"/>
  <c r="I93" i="7"/>
  <c r="J93" i="7"/>
  <c r="K93" i="7"/>
  <c r="L93" i="7"/>
  <c r="D94" i="7"/>
  <c r="E94" i="7"/>
  <c r="F94" i="7"/>
  <c r="G94" i="7"/>
  <c r="H94" i="7"/>
  <c r="I94" i="7"/>
  <c r="J94" i="7"/>
  <c r="K94" i="7"/>
  <c r="L94" i="7"/>
  <c r="D95" i="7"/>
  <c r="E95" i="7"/>
  <c r="F95" i="7"/>
  <c r="G95" i="7"/>
  <c r="H95" i="7"/>
  <c r="I95" i="7"/>
  <c r="J95" i="7"/>
  <c r="K95" i="7"/>
  <c r="L95" i="7"/>
  <c r="D96" i="7"/>
  <c r="E96" i="7"/>
  <c r="F96" i="7"/>
  <c r="G96" i="7"/>
  <c r="H96" i="7"/>
  <c r="I96" i="7"/>
  <c r="J96" i="7"/>
  <c r="K96" i="7"/>
  <c r="L96" i="7"/>
  <c r="D97" i="7"/>
  <c r="E97" i="7"/>
  <c r="F97" i="7"/>
  <c r="G97" i="7"/>
  <c r="H97" i="7"/>
  <c r="I97" i="7"/>
  <c r="J97" i="7"/>
  <c r="K97" i="7"/>
  <c r="L97" i="7"/>
  <c r="D98" i="7"/>
  <c r="E98" i="7"/>
  <c r="F98" i="7"/>
  <c r="G98" i="7"/>
  <c r="H98" i="7"/>
  <c r="I98" i="7"/>
  <c r="J98" i="7"/>
  <c r="K98" i="7"/>
  <c r="L98" i="7"/>
  <c r="D99" i="7"/>
  <c r="E99" i="7"/>
  <c r="F99" i="7"/>
  <c r="G99" i="7"/>
  <c r="H99" i="7"/>
  <c r="I99" i="7"/>
  <c r="J99" i="7"/>
  <c r="K99" i="7"/>
  <c r="L99" i="7"/>
  <c r="D100" i="7"/>
  <c r="E100" i="7"/>
  <c r="F100" i="7"/>
  <c r="G100" i="7"/>
  <c r="H100" i="7"/>
  <c r="I100" i="7"/>
  <c r="J100" i="7"/>
  <c r="K100" i="7"/>
  <c r="L100" i="7"/>
  <c r="D101" i="7"/>
  <c r="E101" i="7"/>
  <c r="F101" i="7"/>
  <c r="G101" i="7"/>
  <c r="H101" i="7"/>
  <c r="I101" i="7"/>
  <c r="J101" i="7"/>
  <c r="K101" i="7"/>
  <c r="L101" i="7"/>
  <c r="D102" i="7"/>
  <c r="E102" i="7"/>
  <c r="F102" i="7"/>
  <c r="G102" i="7"/>
  <c r="H102" i="7"/>
  <c r="I102" i="7"/>
  <c r="J102" i="7"/>
  <c r="K102" i="7"/>
  <c r="L102" i="7"/>
  <c r="D103" i="7"/>
  <c r="E103" i="7"/>
  <c r="F103" i="7"/>
  <c r="G103" i="7"/>
  <c r="H103" i="7"/>
  <c r="I103" i="7"/>
  <c r="J103" i="7"/>
  <c r="K103" i="7"/>
  <c r="L103" i="7"/>
  <c r="C94" i="7"/>
  <c r="C95" i="7"/>
  <c r="C96" i="7"/>
  <c r="C97" i="7"/>
  <c r="C98" i="7"/>
  <c r="C99" i="7"/>
  <c r="C100" i="7"/>
  <c r="C101" i="7"/>
  <c r="C102" i="7"/>
  <c r="C103" i="7"/>
  <c r="C93" i="7"/>
  <c r="D82" i="7"/>
  <c r="E82" i="7"/>
  <c r="F82" i="7"/>
  <c r="G82" i="7"/>
  <c r="H82" i="7"/>
  <c r="I82" i="7"/>
  <c r="J82" i="7"/>
  <c r="K82" i="7"/>
  <c r="L82" i="7"/>
  <c r="D83" i="7"/>
  <c r="E83" i="7"/>
  <c r="F83" i="7"/>
  <c r="G83" i="7"/>
  <c r="H83" i="7"/>
  <c r="I83" i="7"/>
  <c r="J83" i="7"/>
  <c r="K83" i="7"/>
  <c r="L83" i="7"/>
  <c r="D84" i="7"/>
  <c r="E84" i="7"/>
  <c r="F84" i="7"/>
  <c r="G84" i="7"/>
  <c r="H84" i="7"/>
  <c r="I84" i="7"/>
  <c r="J84" i="7"/>
  <c r="K84" i="7"/>
  <c r="L84" i="7"/>
  <c r="D85" i="7"/>
  <c r="E85" i="7"/>
  <c r="F85" i="7"/>
  <c r="G85" i="7"/>
  <c r="H85" i="7"/>
  <c r="I85" i="7"/>
  <c r="J85" i="7"/>
  <c r="K85" i="7"/>
  <c r="L85" i="7"/>
  <c r="D86" i="7"/>
  <c r="E86" i="7"/>
  <c r="F86" i="7"/>
  <c r="G86" i="7"/>
  <c r="H86" i="7"/>
  <c r="I86" i="7"/>
  <c r="J86" i="7"/>
  <c r="K86" i="7"/>
  <c r="L86" i="7"/>
  <c r="D87" i="7"/>
  <c r="E87" i="7"/>
  <c r="F87" i="7"/>
  <c r="G87" i="7"/>
  <c r="H87" i="7"/>
  <c r="I87" i="7"/>
  <c r="J87" i="7"/>
  <c r="K87" i="7"/>
  <c r="L87" i="7"/>
  <c r="D88" i="7"/>
  <c r="E88" i="7"/>
  <c r="F88" i="7"/>
  <c r="G88" i="7"/>
  <c r="H88" i="7"/>
  <c r="I88" i="7"/>
  <c r="J88" i="7"/>
  <c r="K88" i="7"/>
  <c r="L88" i="7"/>
  <c r="D89" i="7"/>
  <c r="E89" i="7"/>
  <c r="F89" i="7"/>
  <c r="G89" i="7"/>
  <c r="H89" i="7"/>
  <c r="I89" i="7"/>
  <c r="J89" i="7"/>
  <c r="K89" i="7"/>
  <c r="L89" i="7"/>
  <c r="C83" i="7"/>
  <c r="C84" i="7"/>
  <c r="C85" i="7"/>
  <c r="C86" i="7"/>
  <c r="C87" i="7"/>
  <c r="C88" i="7"/>
  <c r="C89" i="7"/>
  <c r="C82" i="7"/>
  <c r="D59" i="7"/>
  <c r="E59" i="7"/>
  <c r="F59" i="7"/>
  <c r="G59" i="7"/>
  <c r="H59" i="7"/>
  <c r="I59" i="7"/>
  <c r="J59" i="7"/>
  <c r="K59" i="7"/>
  <c r="L59" i="7"/>
  <c r="C59" i="7"/>
  <c r="D62" i="7"/>
  <c r="E62" i="7"/>
  <c r="F62" i="7"/>
  <c r="G62" i="7"/>
  <c r="H62" i="7"/>
  <c r="I62" i="7"/>
  <c r="J62" i="7"/>
  <c r="K62" i="7"/>
  <c r="L62" i="7"/>
  <c r="D63" i="7"/>
  <c r="E63" i="7"/>
  <c r="F63" i="7"/>
  <c r="G63" i="7"/>
  <c r="H63" i="7"/>
  <c r="I63" i="7"/>
  <c r="J63" i="7"/>
  <c r="K63" i="7"/>
  <c r="L63" i="7"/>
  <c r="D64" i="7"/>
  <c r="E64" i="7"/>
  <c r="F64" i="7"/>
  <c r="G64" i="7"/>
  <c r="H64" i="7"/>
  <c r="I64" i="7"/>
  <c r="J64" i="7"/>
  <c r="K64" i="7"/>
  <c r="L64" i="7"/>
  <c r="C63" i="7"/>
  <c r="C64" i="7"/>
  <c r="C62" i="7"/>
  <c r="D56" i="7"/>
  <c r="E56" i="7"/>
  <c r="F56" i="7"/>
  <c r="G56" i="7"/>
  <c r="H56" i="7"/>
  <c r="I56" i="7"/>
  <c r="J56" i="7"/>
  <c r="K56" i="7"/>
  <c r="L56" i="7"/>
  <c r="D57" i="7"/>
  <c r="E57" i="7"/>
  <c r="F57" i="7"/>
  <c r="G57" i="7"/>
  <c r="H57" i="7"/>
  <c r="I57" i="7"/>
  <c r="J57" i="7"/>
  <c r="K57" i="7"/>
  <c r="L57" i="7"/>
  <c r="D58" i="7"/>
  <c r="E58" i="7"/>
  <c r="F58" i="7"/>
  <c r="G58" i="7"/>
  <c r="H58" i="7"/>
  <c r="I58" i="7"/>
  <c r="J58" i="7"/>
  <c r="K58" i="7"/>
  <c r="L58" i="7"/>
  <c r="C57" i="7"/>
  <c r="C58" i="7"/>
  <c r="C56" i="7"/>
  <c r="D50" i="7"/>
  <c r="E50" i="7"/>
  <c r="F50" i="7"/>
  <c r="G50" i="7"/>
  <c r="H50" i="7"/>
  <c r="I50" i="7"/>
  <c r="J50" i="7"/>
  <c r="K50" i="7"/>
  <c r="L50" i="7"/>
  <c r="D51" i="7"/>
  <c r="E51" i="7"/>
  <c r="F51" i="7"/>
  <c r="G51" i="7"/>
  <c r="H51" i="7"/>
  <c r="I51" i="7"/>
  <c r="J51" i="7"/>
  <c r="K51" i="7"/>
  <c r="L51" i="7"/>
  <c r="D52" i="7"/>
  <c r="E52" i="7"/>
  <c r="F52" i="7"/>
  <c r="G52" i="7"/>
  <c r="H52" i="7"/>
  <c r="I52" i="7"/>
  <c r="J52" i="7"/>
  <c r="K52" i="7"/>
  <c r="L52" i="7"/>
  <c r="D53" i="7"/>
  <c r="E53" i="7"/>
  <c r="F53" i="7"/>
  <c r="G53" i="7"/>
  <c r="H53" i="7"/>
  <c r="I53" i="7"/>
  <c r="J53" i="7"/>
  <c r="K53" i="7"/>
  <c r="L53" i="7"/>
  <c r="C51" i="7"/>
  <c r="C52" i="7"/>
  <c r="C53" i="7"/>
  <c r="C50" i="7"/>
  <c r="D39" i="7"/>
  <c r="D44" i="7" s="1"/>
  <c r="E39" i="7"/>
  <c r="E44" i="7" s="1"/>
  <c r="F39" i="7"/>
  <c r="F44" i="7" s="1"/>
  <c r="F10" i="12" s="1"/>
  <c r="G39" i="7"/>
  <c r="G44" i="7" s="1"/>
  <c r="G10" i="12" s="1"/>
  <c r="H39" i="7"/>
  <c r="H44" i="7" s="1"/>
  <c r="H10" i="12" s="1"/>
  <c r="I39" i="7"/>
  <c r="I44" i="7" s="1"/>
  <c r="J39" i="7"/>
  <c r="J44" i="7" s="1"/>
  <c r="J10" i="12" s="1"/>
  <c r="K39" i="7"/>
  <c r="K44" i="7" s="1"/>
  <c r="L39" i="7"/>
  <c r="L44" i="7" s="1"/>
  <c r="C39" i="7"/>
  <c r="C44" i="7" s="1"/>
  <c r="D33" i="7"/>
  <c r="E33" i="7"/>
  <c r="F33" i="7"/>
  <c r="G33" i="7"/>
  <c r="H33" i="7"/>
  <c r="I33" i="7"/>
  <c r="J33" i="7"/>
  <c r="K33" i="7"/>
  <c r="L33" i="7"/>
  <c r="C33" i="7"/>
  <c r="L24" i="7"/>
  <c r="K24" i="7"/>
  <c r="J24" i="7"/>
  <c r="I24" i="7"/>
  <c r="H24" i="7"/>
  <c r="G24" i="7"/>
  <c r="F24" i="7"/>
  <c r="E24" i="7"/>
  <c r="D24" i="7"/>
  <c r="C24" i="7"/>
  <c r="D21" i="7"/>
  <c r="E21" i="7"/>
  <c r="F21" i="7"/>
  <c r="G21" i="7"/>
  <c r="H21" i="7"/>
  <c r="I21" i="7"/>
  <c r="J21" i="7"/>
  <c r="K21" i="7"/>
  <c r="L21" i="7"/>
  <c r="C21" i="7"/>
  <c r="C15" i="7"/>
  <c r="D15" i="7"/>
  <c r="E15" i="7"/>
  <c r="F15" i="7"/>
  <c r="G15" i="7"/>
  <c r="H15" i="7"/>
  <c r="I15" i="7"/>
  <c r="J15" i="7"/>
  <c r="K15" i="7"/>
  <c r="L15" i="7"/>
  <c r="D9" i="7"/>
  <c r="E9" i="7"/>
  <c r="F9" i="7"/>
  <c r="G9" i="7"/>
  <c r="H9" i="7"/>
  <c r="I9" i="7"/>
  <c r="J9" i="7"/>
  <c r="K9" i="7"/>
  <c r="L9" i="7"/>
  <c r="E6" i="7"/>
  <c r="F6" i="7"/>
  <c r="G6" i="7"/>
  <c r="H6" i="7"/>
  <c r="I6" i="7"/>
  <c r="J6" i="7"/>
  <c r="K6" i="7"/>
  <c r="L6" i="7"/>
  <c r="C6" i="7"/>
  <c r="D6" i="7"/>
  <c r="B2" i="7"/>
  <c r="D3" i="7"/>
  <c r="E3" i="7"/>
  <c r="F3" i="7"/>
  <c r="G3" i="7"/>
  <c r="H3" i="7"/>
  <c r="I3" i="7"/>
  <c r="J3" i="7"/>
  <c r="K3" i="7"/>
  <c r="L3" i="7"/>
  <c r="C3" i="7"/>
  <c r="B6" i="6"/>
  <c r="E1" i="6"/>
  <c r="I37" i="12" l="1"/>
  <c r="J37" i="12"/>
  <c r="E37" i="12"/>
  <c r="L37" i="12"/>
  <c r="E25" i="12"/>
  <c r="F37" i="12"/>
  <c r="H25" i="12"/>
  <c r="G37" i="12"/>
  <c r="H37" i="12"/>
  <c r="C37" i="12"/>
  <c r="K25" i="12"/>
  <c r="J25" i="12"/>
  <c r="L10" i="12"/>
  <c r="E10" i="12"/>
  <c r="E77" i="7"/>
  <c r="L77" i="7"/>
  <c r="K10" i="12"/>
  <c r="K77" i="7"/>
  <c r="D77" i="7"/>
  <c r="I10" i="12"/>
  <c r="J77" i="7"/>
  <c r="I77" i="7"/>
  <c r="D10" i="12"/>
  <c r="H77" i="7"/>
  <c r="G77" i="7"/>
  <c r="F77" i="7"/>
  <c r="H115" i="7"/>
  <c r="E115" i="7"/>
  <c r="D115" i="7"/>
  <c r="H104" i="7"/>
  <c r="F104" i="7"/>
  <c r="G104" i="7"/>
  <c r="L115" i="7"/>
  <c r="F115" i="7"/>
  <c r="K104" i="7"/>
  <c r="C115" i="7"/>
  <c r="K115" i="7"/>
  <c r="D104" i="7"/>
  <c r="J115" i="7"/>
  <c r="L104" i="7"/>
  <c r="C90" i="7"/>
  <c r="J90" i="7"/>
  <c r="C104" i="7"/>
  <c r="J104" i="7"/>
  <c r="E104" i="7"/>
  <c r="I104" i="7"/>
  <c r="G115" i="7"/>
  <c r="I115" i="7"/>
  <c r="F90" i="7"/>
  <c r="K90" i="7"/>
  <c r="L90" i="7"/>
  <c r="D90" i="7"/>
  <c r="E90" i="7"/>
  <c r="I90" i="7"/>
  <c r="G90" i="7"/>
  <c r="H90" i="7"/>
  <c r="I65" i="7"/>
  <c r="G65" i="7"/>
  <c r="H65" i="7"/>
  <c r="J65" i="7"/>
  <c r="F65" i="7"/>
  <c r="C25" i="7"/>
  <c r="C19" i="12" s="1"/>
  <c r="K25" i="7"/>
  <c r="K19" i="12" s="1"/>
  <c r="E65" i="7"/>
  <c r="K65" i="7"/>
  <c r="L65" i="7"/>
  <c r="D65" i="7"/>
  <c r="C65" i="7"/>
  <c r="G12" i="7"/>
  <c r="G18" i="7" s="1"/>
  <c r="J25" i="7"/>
  <c r="J19" i="12" s="1"/>
  <c r="L25" i="7"/>
  <c r="L19" i="12" s="1"/>
  <c r="E25" i="7"/>
  <c r="E19" i="12" s="1"/>
  <c r="F25" i="7"/>
  <c r="F19" i="12" s="1"/>
  <c r="C22" i="7"/>
  <c r="I25" i="7"/>
  <c r="I19" i="12" s="1"/>
  <c r="G22" i="7"/>
  <c r="G25" i="7"/>
  <c r="G19" i="12" s="1"/>
  <c r="D25" i="7"/>
  <c r="D19" i="12" s="1"/>
  <c r="I7" i="7"/>
  <c r="I5" i="12" s="1"/>
  <c r="F22" i="7"/>
  <c r="H25" i="7"/>
  <c r="H19" i="12" s="1"/>
  <c r="G7" i="7"/>
  <c r="G5" i="12" s="1"/>
  <c r="E22" i="7"/>
  <c r="L12" i="7"/>
  <c r="L18" i="7" s="1"/>
  <c r="H22" i="7"/>
  <c r="G10" i="7"/>
  <c r="D22" i="7"/>
  <c r="C10" i="7"/>
  <c r="E10" i="7"/>
  <c r="D12" i="7"/>
  <c r="D13" i="7" s="1"/>
  <c r="D12" i="12" s="1"/>
  <c r="J7" i="7"/>
  <c r="J5" i="12" s="1"/>
  <c r="H7" i="7"/>
  <c r="H5" i="12" s="1"/>
  <c r="F16" i="7"/>
  <c r="F18" i="12" s="1"/>
  <c r="L22" i="7"/>
  <c r="J22" i="7"/>
  <c r="H12" i="7"/>
  <c r="H13" i="7" s="1"/>
  <c r="H12" i="12" s="1"/>
  <c r="I22" i="7"/>
  <c r="D16" i="7"/>
  <c r="D18" i="12" s="1"/>
  <c r="K10" i="7"/>
  <c r="K22" i="7"/>
  <c r="C16" i="7"/>
  <c r="C18" i="12" s="1"/>
  <c r="J10" i="7"/>
  <c r="K16" i="7"/>
  <c r="K18" i="12" s="1"/>
  <c r="I10" i="7"/>
  <c r="H10" i="7"/>
  <c r="I16" i="7"/>
  <c r="I18" i="12" s="1"/>
  <c r="H16" i="7"/>
  <c r="H18" i="12" s="1"/>
  <c r="K12" i="7"/>
  <c r="K18" i="7" s="1"/>
  <c r="L10" i="7"/>
  <c r="J16" i="7"/>
  <c r="J18" i="12" s="1"/>
  <c r="J12" i="7"/>
  <c r="J13" i="7" s="1"/>
  <c r="J12" i="12" s="1"/>
  <c r="D7" i="7"/>
  <c r="D5" i="12" s="1"/>
  <c r="E16" i="7"/>
  <c r="E18" i="12" s="1"/>
  <c r="F10" i="7"/>
  <c r="I12" i="7"/>
  <c r="I18" i="7" s="1"/>
  <c r="G16" i="7"/>
  <c r="G18" i="12" s="1"/>
  <c r="L16" i="7"/>
  <c r="L18" i="12" s="1"/>
  <c r="F7" i="7"/>
  <c r="F5" i="12" s="1"/>
  <c r="E7" i="7"/>
  <c r="E5" i="12" s="1"/>
  <c r="L7" i="7"/>
  <c r="L5" i="12" s="1"/>
  <c r="D10" i="7"/>
  <c r="F12" i="7"/>
  <c r="K7" i="7"/>
  <c r="K5" i="12" s="1"/>
  <c r="C12" i="7"/>
  <c r="C20" i="14" s="1"/>
  <c r="E12" i="7"/>
  <c r="G30" i="7" l="1"/>
  <c r="G27" i="7"/>
  <c r="I27" i="7"/>
  <c r="I30" i="7"/>
  <c r="K30" i="7"/>
  <c r="K27" i="7"/>
  <c r="L27" i="7"/>
  <c r="L6" i="12"/>
  <c r="L30" i="7"/>
  <c r="G19" i="7"/>
  <c r="G13" i="12" s="1"/>
  <c r="G13" i="7"/>
  <c r="G12" i="12" s="1"/>
  <c r="G69" i="7"/>
  <c r="J117" i="7"/>
  <c r="H117" i="7"/>
  <c r="I117" i="7"/>
  <c r="D117" i="7"/>
  <c r="F117" i="7"/>
  <c r="L117" i="7"/>
  <c r="C117" i="7"/>
  <c r="G117" i="7"/>
  <c r="E117" i="7"/>
  <c r="K117" i="7"/>
  <c r="I69" i="7"/>
  <c r="H69" i="7"/>
  <c r="L69" i="7"/>
  <c r="E69" i="7"/>
  <c r="F69" i="7"/>
  <c r="J69" i="7"/>
  <c r="D69" i="7"/>
  <c r="K69" i="7"/>
  <c r="L13" i="7"/>
  <c r="L12" i="12" s="1"/>
  <c r="D18" i="7"/>
  <c r="L19" i="7"/>
  <c r="L13" i="12" s="1"/>
  <c r="K19" i="7"/>
  <c r="K13" i="12" s="1"/>
  <c r="I19" i="7"/>
  <c r="I13" i="12" s="1"/>
  <c r="J18" i="7"/>
  <c r="H18" i="7"/>
  <c r="I6" i="12" s="1"/>
  <c r="K13" i="7"/>
  <c r="K12" i="12" s="1"/>
  <c r="I13" i="7"/>
  <c r="I12" i="12" s="1"/>
  <c r="E18" i="7"/>
  <c r="E13" i="7"/>
  <c r="E12" i="12" s="1"/>
  <c r="C18" i="7"/>
  <c r="C13" i="7"/>
  <c r="C12" i="12" s="1"/>
  <c r="F13" i="7"/>
  <c r="F12" i="12" s="1"/>
  <c r="F18" i="7"/>
  <c r="N12" i="12" l="1"/>
  <c r="O12" i="12"/>
  <c r="J30" i="7"/>
  <c r="J8" i="12" s="1"/>
  <c r="J6" i="12"/>
  <c r="J27" i="7"/>
  <c r="K7" i="12" s="1"/>
  <c r="K8" i="12"/>
  <c r="K6" i="12"/>
  <c r="I8" i="12"/>
  <c r="D27" i="7"/>
  <c r="D30" i="7"/>
  <c r="G28" i="7"/>
  <c r="G14" i="12" s="1"/>
  <c r="G20" i="12" s="1"/>
  <c r="L8" i="12"/>
  <c r="C27" i="7"/>
  <c r="C30" i="7"/>
  <c r="E27" i="7"/>
  <c r="E6" i="12"/>
  <c r="E30" i="7"/>
  <c r="I28" i="7"/>
  <c r="I14" i="12" s="1"/>
  <c r="I20" i="12" s="1"/>
  <c r="L28" i="7"/>
  <c r="L14" i="12" s="1"/>
  <c r="L20" i="12" s="1"/>
  <c r="L7" i="12"/>
  <c r="F6" i="12"/>
  <c r="F27" i="7"/>
  <c r="G7" i="12" s="1"/>
  <c r="F30" i="7"/>
  <c r="H6" i="12"/>
  <c r="H27" i="7"/>
  <c r="H30" i="7"/>
  <c r="H8" i="12" s="1"/>
  <c r="K28" i="7"/>
  <c r="K14" i="12" s="1"/>
  <c r="K20" i="12" s="1"/>
  <c r="G6" i="12"/>
  <c r="D6" i="12"/>
  <c r="G34" i="7"/>
  <c r="G36" i="7"/>
  <c r="G31" i="7"/>
  <c r="G15" i="12" s="1"/>
  <c r="C19" i="7"/>
  <c r="C13" i="12" s="1"/>
  <c r="I31" i="7"/>
  <c r="I15" i="12" s="1"/>
  <c r="I36" i="7"/>
  <c r="I34" i="7"/>
  <c r="E19" i="7"/>
  <c r="E13" i="12" s="1"/>
  <c r="K31" i="7"/>
  <c r="K15" i="12" s="1"/>
  <c r="K36" i="7"/>
  <c r="K34" i="7"/>
  <c r="F19" i="7"/>
  <c r="F13" i="12" s="1"/>
  <c r="H19" i="7"/>
  <c r="H13" i="12" s="1"/>
  <c r="L36" i="7"/>
  <c r="L31" i="7"/>
  <c r="L15" i="12" s="1"/>
  <c r="L34" i="7"/>
  <c r="J19" i="7"/>
  <c r="J13" i="12" s="1"/>
  <c r="D19" i="7"/>
  <c r="D13" i="12" s="1"/>
  <c r="N13" i="12" l="1"/>
  <c r="O13" i="12"/>
  <c r="N6" i="12"/>
  <c r="O6" i="12"/>
  <c r="C22" i="12"/>
  <c r="C26" i="12"/>
  <c r="F8" i="12"/>
  <c r="L9" i="12"/>
  <c r="G8" i="12"/>
  <c r="D7" i="12"/>
  <c r="D28" i="7"/>
  <c r="D14" i="12" s="1"/>
  <c r="D20" i="12" s="1"/>
  <c r="H7" i="12"/>
  <c r="H28" i="7"/>
  <c r="H14" i="12" s="1"/>
  <c r="H20" i="12" s="1"/>
  <c r="I7" i="12"/>
  <c r="J7" i="12"/>
  <c r="J28" i="7"/>
  <c r="J14" i="12" s="1"/>
  <c r="J20" i="12" s="1"/>
  <c r="E8" i="12"/>
  <c r="F28" i="7"/>
  <c r="F14" i="12" s="1"/>
  <c r="F20" i="12" s="1"/>
  <c r="F7" i="12"/>
  <c r="E28" i="7"/>
  <c r="E14" i="12" s="1"/>
  <c r="E20" i="12" s="1"/>
  <c r="E7" i="12"/>
  <c r="C28" i="7"/>
  <c r="C14" i="12" s="1"/>
  <c r="G37" i="7"/>
  <c r="G16" i="12" s="1"/>
  <c r="D8" i="12"/>
  <c r="G41" i="7"/>
  <c r="G45" i="7" s="1"/>
  <c r="G47" i="7"/>
  <c r="D36" i="7"/>
  <c r="D31" i="7"/>
  <c r="D15" i="12" s="1"/>
  <c r="D34" i="7"/>
  <c r="L41" i="7"/>
  <c r="L37" i="7"/>
  <c r="L16" i="12" s="1"/>
  <c r="E36" i="7"/>
  <c r="E31" i="7"/>
  <c r="E15" i="12" s="1"/>
  <c r="E34" i="7"/>
  <c r="H31" i="7"/>
  <c r="H15" i="12" s="1"/>
  <c r="H36" i="7"/>
  <c r="H9" i="12" s="1"/>
  <c r="H34" i="7"/>
  <c r="F31" i="7"/>
  <c r="F15" i="12" s="1"/>
  <c r="F36" i="7"/>
  <c r="G9" i="12" s="1"/>
  <c r="F34" i="7"/>
  <c r="I37" i="7"/>
  <c r="I16" i="12" s="1"/>
  <c r="I41" i="7"/>
  <c r="J36" i="7"/>
  <c r="J9" i="12" s="1"/>
  <c r="J31" i="7"/>
  <c r="J15" i="12" s="1"/>
  <c r="J34" i="7"/>
  <c r="C36" i="7"/>
  <c r="C24" i="12" s="1"/>
  <c r="C31" i="7"/>
  <c r="C15" i="12" s="1"/>
  <c r="C34" i="7"/>
  <c r="K41" i="7"/>
  <c r="K37" i="7"/>
  <c r="K16" i="12" s="1"/>
  <c r="O7" i="12" l="1"/>
  <c r="N7" i="12"/>
  <c r="O15" i="12"/>
  <c r="N15" i="12"/>
  <c r="N24" i="12"/>
  <c r="O24" i="12"/>
  <c r="N22" i="12"/>
  <c r="O22" i="12"/>
  <c r="N8" i="12"/>
  <c r="O8" i="12"/>
  <c r="C20" i="12"/>
  <c r="N14" i="12"/>
  <c r="O14" i="12"/>
  <c r="N26" i="12"/>
  <c r="O26" i="12"/>
  <c r="K9" i="12"/>
  <c r="E9" i="12"/>
  <c r="F9" i="12"/>
  <c r="I9" i="12"/>
  <c r="D9" i="12"/>
  <c r="L42" i="7"/>
  <c r="L45" i="7"/>
  <c r="L47" i="7" s="1"/>
  <c r="I47" i="7"/>
  <c r="I45" i="7"/>
  <c r="K45" i="7"/>
  <c r="K47" i="7" s="1"/>
  <c r="E41" i="7"/>
  <c r="E37" i="7"/>
  <c r="E16" i="12" s="1"/>
  <c r="F37" i="7"/>
  <c r="F16" i="12" s="1"/>
  <c r="F41" i="7"/>
  <c r="C41" i="7"/>
  <c r="C37" i="7"/>
  <c r="C16" i="12" s="1"/>
  <c r="H41" i="7"/>
  <c r="H37" i="7"/>
  <c r="H16" i="12" s="1"/>
  <c r="J41" i="7"/>
  <c r="K42" i="7" s="1"/>
  <c r="J37" i="7"/>
  <c r="J16" i="12" s="1"/>
  <c r="D37" i="7"/>
  <c r="D16" i="12" s="1"/>
  <c r="D41" i="7"/>
  <c r="N9" i="12" l="1"/>
  <c r="O9" i="12"/>
  <c r="N16" i="12"/>
  <c r="O16" i="12"/>
  <c r="O20" i="12"/>
  <c r="N20" i="12"/>
  <c r="H42" i="7"/>
  <c r="H47" i="7"/>
  <c r="H45" i="7"/>
  <c r="C45" i="7"/>
  <c r="C47" i="7" s="1"/>
  <c r="C23" i="12" s="1"/>
  <c r="D42" i="7"/>
  <c r="D45" i="7"/>
  <c r="D47" i="7" s="1"/>
  <c r="F47" i="7"/>
  <c r="F42" i="7"/>
  <c r="F45" i="7"/>
  <c r="G42" i="7"/>
  <c r="I42" i="7"/>
  <c r="J42" i="7"/>
  <c r="J47" i="7"/>
  <c r="J45" i="7"/>
  <c r="E42" i="7"/>
  <c r="E45" i="7"/>
  <c r="E47" i="7" s="1"/>
  <c r="N23" i="12" l="1"/>
  <c r="O23" i="12"/>
  <c r="C25" i="12"/>
  <c r="O25" i="12" l="1"/>
  <c r="N25" i="12"/>
</calcChain>
</file>

<file path=xl/sharedStrings.xml><?xml version="1.0" encoding="utf-8"?>
<sst xmlns="http://schemas.openxmlformats.org/spreadsheetml/2006/main" count="231" uniqueCount="165">
  <si>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</si>
  <si>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</si>
  <si>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</si>
  <si>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</si>
  <si>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</si>
  <si>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</si>
  <si>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</si>
  <si>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</si>
  <si>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</si>
  <si>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</si>
  <si>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</si>
  <si>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</si>
  <si>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</si>
  <si>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</si>
  <si>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</si>
  <si>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</si>
  <si>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</si>
  <si>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</si>
  <si>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</si>
  <si>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</si>
  <si>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</si>
  <si>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</si>
  <si>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</si>
  <si>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</si>
  <si>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</si>
  <si>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</si>
  <si>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</si>
  <si>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</si>
  <si>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</si>
  <si>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</si>
  <si>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</si>
  <si>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</si>
  <si>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</si>
  <si>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</si>
  <si>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</si>
  <si>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</si>
  <si>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</si>
  <si>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</si>
  <si>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</si>
  <si>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</si>
  <si>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</si>
  <si>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</si>
  <si>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</si>
  <si>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</si>
  <si>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</si>
  <si>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</si>
  <si>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</si>
  <si>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</si>
  <si>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</si>
  <si>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</si>
  <si>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</si>
  <si>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</si>
  <si>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</si>
  <si>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</si>
  <si>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</si>
  <si>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 xml:space="preserve">Years </t>
  </si>
  <si>
    <t xml:space="preserve">Income Statement </t>
  </si>
  <si>
    <t>#</t>
  </si>
  <si>
    <t>Sales Growth %</t>
  </si>
  <si>
    <t>COGS</t>
  </si>
  <si>
    <t>-</t>
  </si>
  <si>
    <t xml:space="preserve">Gross Profit </t>
  </si>
  <si>
    <t xml:space="preserve">Selling &amp; General Expenses </t>
  </si>
  <si>
    <t xml:space="preserve">S&amp;G  Exp % of Sales  </t>
  </si>
  <si>
    <t>COGS % of Sales</t>
  </si>
  <si>
    <t xml:space="preserve">Gross Margins </t>
  </si>
  <si>
    <t>EBITDA</t>
  </si>
  <si>
    <t>EBITDA % of Sales</t>
  </si>
  <si>
    <t xml:space="preserve">Interest % of Sales </t>
  </si>
  <si>
    <t xml:space="preserve">Depriciation </t>
  </si>
  <si>
    <t>Depriciation % of Sales</t>
  </si>
  <si>
    <t xml:space="preserve">EBT </t>
  </si>
  <si>
    <t xml:space="preserve">Tax </t>
  </si>
  <si>
    <t xml:space="preserve">Effective Tax Rate </t>
  </si>
  <si>
    <t>Net Profit</t>
  </si>
  <si>
    <t>Net Margins</t>
  </si>
  <si>
    <t>Divided per Share</t>
  </si>
  <si>
    <t xml:space="preserve">No. of Equity Shares  </t>
  </si>
  <si>
    <t>EPS Growth %</t>
  </si>
  <si>
    <t>Retained Earnings</t>
  </si>
  <si>
    <t>Balance Sheet</t>
  </si>
  <si>
    <t>Total Liabilities</t>
  </si>
  <si>
    <t>Total Non-Current Assets</t>
  </si>
  <si>
    <t>Total Current Assets</t>
  </si>
  <si>
    <t>Total Assets</t>
  </si>
  <si>
    <t xml:space="preserve"> 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</si>
  <si>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</si>
  <si>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</si>
  <si>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</si>
  <si>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</si>
  <si>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</si>
  <si>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</si>
  <si>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</si>
  <si>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</si>
  <si>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</si>
  <si>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</si>
  <si>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</si>
  <si>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</si>
  <si>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</si>
  <si>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</si>
  <si>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</si>
  <si>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</si>
  <si>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</si>
  <si>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</si>
  <si>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</si>
  <si>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</si>
  <si>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</si>
  <si>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</si>
  <si>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</si>
  <si>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</si>
  <si>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</si>
  <si>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</si>
  <si>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</si>
  <si>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</si>
  <si>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 xml:space="preserve">Cash Flows Statement </t>
  </si>
  <si>
    <t xml:space="preserve">Cash Flow from Operating Activity </t>
  </si>
  <si>
    <t>Cash Generated from Operations</t>
  </si>
  <si>
    <t xml:space="preserve">Cash Flow from Investing Activity </t>
  </si>
  <si>
    <t>Cash from Investments</t>
  </si>
  <si>
    <t xml:space="preserve">Cash Flow from Financing Activity </t>
  </si>
  <si>
    <t>Cash from Financing</t>
  </si>
  <si>
    <t>Net Cash Flows</t>
  </si>
  <si>
    <r>
      <t xml:space="preserve">Cash Flows Statement </t>
    </r>
    <r>
      <rPr>
        <i/>
        <sz val="11"/>
        <color theme="1"/>
        <rFont val="Calibri"/>
        <family val="2"/>
        <scheme val="minor"/>
      </rPr>
      <t>(Expanded)</t>
    </r>
  </si>
  <si>
    <t xml:space="preserve">Sales Growth </t>
  </si>
  <si>
    <t>Gross Margin</t>
  </si>
  <si>
    <t>EBITDA Growth</t>
  </si>
  <si>
    <t xml:space="preserve">EBIT Growth </t>
  </si>
  <si>
    <t>Dividend Growth</t>
  </si>
  <si>
    <t>EBITA Margin</t>
  </si>
  <si>
    <t>EBIT Margin</t>
  </si>
  <si>
    <t>Net Profit Margin</t>
  </si>
  <si>
    <t>Sales Expenses % of sales</t>
  </si>
  <si>
    <t>Depriciation % of sales</t>
  </si>
  <si>
    <t xml:space="preserve">Operating Income % of sales </t>
  </si>
  <si>
    <t>Return on Capital Employed</t>
  </si>
  <si>
    <t>Retained Earnings %</t>
  </si>
  <si>
    <t>Return on Equity %</t>
  </si>
  <si>
    <t xml:space="preserve">Self Sustained Growth Rate </t>
  </si>
  <si>
    <t xml:space="preserve">Interest Coverage Ratio 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</si>
  <si>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</si>
  <si>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</si>
  <si>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</si>
  <si>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</si>
  <si>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</si>
  <si>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</si>
  <si>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</si>
  <si>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</si>
  <si>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CFO/Sales</t>
  </si>
  <si>
    <t>CFO/Total Assets</t>
  </si>
  <si>
    <t>CFO/Total Debt</t>
  </si>
  <si>
    <t>Net Profit Growth</t>
  </si>
  <si>
    <t>EBT Growth</t>
  </si>
  <si>
    <t>Dividend Payout Ratio</t>
  </si>
  <si>
    <t>EBT Margin</t>
  </si>
  <si>
    <t>EBIT</t>
  </si>
  <si>
    <t>EBIT % of Sales</t>
  </si>
  <si>
    <t>EBT % of Sales</t>
  </si>
  <si>
    <t xml:space="preserve"> Fixed Assets Net Block</t>
  </si>
  <si>
    <r>
      <t>Cash Conversion Cycle</t>
    </r>
    <r>
      <rPr>
        <b/>
        <i/>
        <sz val="11"/>
        <color theme="1"/>
        <rFont val="Calibri"/>
        <family val="2"/>
        <scheme val="minor"/>
      </rPr>
      <t xml:space="preserve"> (in days)</t>
    </r>
  </si>
  <si>
    <t>Mean</t>
  </si>
  <si>
    <t>Median</t>
  </si>
  <si>
    <t>Trend</t>
  </si>
  <si>
    <t xml:space="preserve">Particulars </t>
  </si>
  <si>
    <t xml:space="preserve">Total Liabilities </t>
  </si>
  <si>
    <t xml:space="preserve">Total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</si>
</sst>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;&quot;₹&quot;\ \(#,##0.0\);\-"/>
    <numFmt numFmtId="167" formatCode="&quot;₹&quot;\ #,##0.00"/>
    <numFmt numFmtId="168" formatCode="0.00&quot;x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/>
      <top style="hair">
        <color theme="7" tint="-0.24994659260841701"/>
      </top>
      <bottom/>
      <diagonal/>
    </border>
    <border>
      <left/>
      <right/>
      <top/>
      <bottom style="hair">
        <color theme="7" tint="-0.2499465926084170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43" fontId="1" fillId="0" borderId="0" xfId="1" applyFont="1" applyBorder="1"/>
    <xf numFmtId="0" fontId="1" fillId="0" borderId="0" xfId="0" applyFont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0" fontId="7" fillId="0" borderId="0" xfId="4" applyNumberFormat="1" applyFont="1"/>
    <xf numFmtId="0" fontId="1" fillId="5" borderId="0" xfId="0" applyFont="1" applyFill="1"/>
    <xf numFmtId="0" fontId="0" fillId="5" borderId="0" xfId="0" applyFill="1"/>
    <xf numFmtId="10" fontId="7" fillId="0" borderId="0" xfId="4" applyNumberFormat="1" applyFont="1" applyAlignment="1">
      <alignment horizontal="right"/>
    </xf>
    <xf numFmtId="10" fontId="0" fillId="0" borderId="0" xfId="4" applyNumberFormat="1" applyFont="1"/>
    <xf numFmtId="166" fontId="1" fillId="0" borderId="0" xfId="0" applyNumberFormat="1" applyFont="1"/>
    <xf numFmtId="0" fontId="8" fillId="0" borderId="0" xfId="0" applyFont="1"/>
    <xf numFmtId="3" fontId="0" fillId="0" borderId="0" xfId="0" applyNumberFormat="1"/>
    <xf numFmtId="43" fontId="1" fillId="0" borderId="1" xfId="1" applyFont="1" applyFill="1" applyBorder="1"/>
    <xf numFmtId="166" fontId="1" fillId="0" borderId="1" xfId="0" applyNumberFormat="1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2" xfId="0" applyFont="1" applyBorder="1"/>
    <xf numFmtId="167" fontId="1" fillId="0" borderId="2" xfId="0" applyNumberFormat="1" applyFont="1" applyBorder="1"/>
    <xf numFmtId="168" fontId="0" fillId="0" borderId="0" xfId="0" applyNumberFormat="1"/>
    <xf numFmtId="0" fontId="0" fillId="0" borderId="3" xfId="0" applyBorder="1"/>
    <xf numFmtId="10" fontId="0" fillId="0" borderId="3" xfId="4" applyNumberFormat="1" applyFont="1" applyBorder="1"/>
    <xf numFmtId="10" fontId="0" fillId="0" borderId="0" xfId="4" applyNumberFormat="1" applyFont="1" applyBorder="1"/>
    <xf numFmtId="0" fontId="0" fillId="0" borderId="4" xfId="0" applyBorder="1"/>
    <xf numFmtId="10" fontId="0" fillId="0" borderId="4" xfId="4" applyNumberFormat="1" applyFont="1" applyBorder="1"/>
    <xf numFmtId="10" fontId="0" fillId="0" borderId="3" xfId="0" applyNumberFormat="1" applyBorder="1"/>
    <xf numFmtId="10" fontId="0" fillId="0" borderId="0" xfId="0" applyNumberFormat="1"/>
    <xf numFmtId="10" fontId="0" fillId="0" borderId="4" xfId="0" applyNumberFormat="1" applyBorder="1"/>
    <xf numFmtId="168" fontId="0" fillId="0" borderId="4" xfId="0" applyNumberFormat="1" applyBorder="1"/>
    <xf numFmtId="168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0" borderId="4" xfId="0" applyNumberFormat="1" applyBorder="1"/>
    <xf numFmtId="17" fontId="2" fillId="4" borderId="0" xfId="0" applyNumberFormat="1" applyFont="1" applyFill="1" applyAlignment="1">
      <alignment horizontal="center"/>
    </xf>
    <xf numFmtId="43" fontId="0" fillId="0" borderId="0" xfId="0" applyNumberFormat="1"/>
    <xf numFmtId="43" fontId="1" fillId="0" borderId="0" xfId="0" applyNumberFormat="1" applyFont="1"/>
    <xf numFmtId="43" fontId="10" fillId="0" borderId="0" xfId="0" applyNumberFormat="1" applyFont="1"/>
    <xf numFmtId="0" fontId="2" fillId="4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4FD6-1671-471E-8A66-09908CCAEF27}">
  <sheetPr>
    <tabColor theme="7" tint="-0.249977111117893"/>
  </sheetPr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BFF9-C8F5-44E9-9C40-BF275CF4C185}">
  <dimension ref="A2:M117"/>
  <sheetViews>
    <sheetView showGridLines="0" zoomScale="110" zoomScaleNormal="110" workbookViewId="0">
      <pane ySplit="3" topLeftCell="A105" activePane="bottomLeft" state="frozen"/>
      <selection pane="bottomLeft" activeCell="C125" sqref="C125"/>
    </sheetView>
  </sheetViews>
  <sheetFormatPr defaultRowHeight="14.4" x14ac:dyDescent="0.3"/>
  <cols>
    <col min="1" max="1" width="1.88671875" customWidth="1"/>
    <col min="2" max="2" width="35.77734375" customWidth="1"/>
    <col min="3" max="12" width="12" bestFit="1" customWidth="1"/>
    <col min="13" max="13" width="11" bestFit="1" customWidth="1"/>
  </cols>
  <sheetData>
    <row r="2" spans="1:13" x14ac:dyDescent="0.3">
      <c r="B2" s="47" t="str">
        <f>"Historical Financials Statements - "&amp;'Data Sheet'!B1</f>
        <v>Historical Financials Statements - TATA MOTORS LTD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3" x14ac:dyDescent="0.3">
      <c r="B3" s="10" t="s">
        <v>55</v>
      </c>
      <c r="C3" s="11">
        <f>'Data Sheet'!B16</f>
        <v>42460</v>
      </c>
      <c r="D3" s="11">
        <f>'Data Sheet'!C16</f>
        <v>42825</v>
      </c>
      <c r="E3" s="11">
        <f>'Data Sheet'!D16</f>
        <v>43190</v>
      </c>
      <c r="F3" s="11">
        <f>'Data Sheet'!E16</f>
        <v>43555</v>
      </c>
      <c r="G3" s="11">
        <f>'Data Sheet'!F16</f>
        <v>43921</v>
      </c>
      <c r="H3" s="11">
        <f>'Data Sheet'!G16</f>
        <v>44286</v>
      </c>
      <c r="I3" s="11">
        <f>'Data Sheet'!H16</f>
        <v>44651</v>
      </c>
      <c r="J3" s="11">
        <f>'Data Sheet'!I16</f>
        <v>45016</v>
      </c>
      <c r="K3" s="11">
        <f>'Data Sheet'!J16</f>
        <v>45382</v>
      </c>
      <c r="L3" s="11">
        <f>'Data Sheet'!K16</f>
        <v>45747</v>
      </c>
      <c r="M3" s="9"/>
    </row>
    <row r="5" spans="1:13" x14ac:dyDescent="0.3">
      <c r="A5" s="2" t="s">
        <v>57</v>
      </c>
      <c r="B5" s="16" t="s">
        <v>56</v>
      </c>
      <c r="C5" s="16"/>
      <c r="D5" s="17"/>
      <c r="E5" s="17"/>
      <c r="F5" s="17"/>
      <c r="G5" s="17"/>
      <c r="H5" s="17"/>
      <c r="I5" s="17"/>
      <c r="J5" s="17"/>
      <c r="K5" s="17"/>
      <c r="L5" s="17"/>
    </row>
    <row r="6" spans="1:13" x14ac:dyDescent="0.3">
      <c r="B6" t="s">
        <v>1</v>
      </c>
      <c r="C6" s="12">
        <f>IFERROR('Data Sheet'!B17,0)</f>
        <v>273045.59999999998</v>
      </c>
      <c r="D6" s="12">
        <f>IFERROR('Data Sheet'!C17,0)</f>
        <v>269692.51</v>
      </c>
      <c r="E6" s="12">
        <f>IFERROR('Data Sheet'!D17,0)</f>
        <v>291550.48</v>
      </c>
      <c r="F6" s="12">
        <f>IFERROR('Data Sheet'!E17,0)</f>
        <v>301938.40000000002</v>
      </c>
      <c r="G6" s="12">
        <f>IFERROR('Data Sheet'!F17,0)</f>
        <v>261067.97</v>
      </c>
      <c r="H6" s="12">
        <f>IFERROR('Data Sheet'!G17,0)</f>
        <v>249794.75</v>
      </c>
      <c r="I6" s="12">
        <f>IFERROR('Data Sheet'!H17,0)</f>
        <v>278453.62</v>
      </c>
      <c r="J6" s="12">
        <f>IFERROR('Data Sheet'!I17,0)</f>
        <v>345966.97</v>
      </c>
      <c r="K6" s="12">
        <f>IFERROR('Data Sheet'!J17,0)</f>
        <v>434016</v>
      </c>
      <c r="L6" s="12">
        <f>IFERROR('Data Sheet'!K17,0)</f>
        <v>439695</v>
      </c>
    </row>
    <row r="7" spans="1:13" x14ac:dyDescent="0.3">
      <c r="B7" s="13" t="s">
        <v>58</v>
      </c>
      <c r="C7" s="14" t="s">
        <v>60</v>
      </c>
      <c r="D7" s="15">
        <f>D6/C6-1</f>
        <v>-1.2280329732469508E-2</v>
      </c>
      <c r="E7" s="15">
        <f t="shared" ref="E7:L7" si="0">E6/D6-1</f>
        <v>8.104774581985974E-2</v>
      </c>
      <c r="F7" s="15">
        <f t="shared" si="0"/>
        <v>3.5629919045237157E-2</v>
      </c>
      <c r="G7" s="15">
        <f t="shared" si="0"/>
        <v>-0.135360159555724</v>
      </c>
      <c r="H7" s="15">
        <f t="shared" si="0"/>
        <v>-4.3181168490336042E-2</v>
      </c>
      <c r="I7" s="15">
        <f t="shared" si="0"/>
        <v>0.11472967306158344</v>
      </c>
      <c r="J7" s="15">
        <f t="shared" si="0"/>
        <v>0.24245815155859707</v>
      </c>
      <c r="K7" s="15">
        <f t="shared" si="0"/>
        <v>0.25450126062612277</v>
      </c>
      <c r="L7" s="15">
        <f t="shared" si="0"/>
        <v>1.3084771068347711E-2</v>
      </c>
    </row>
    <row r="9" spans="1:13" x14ac:dyDescent="0.3">
      <c r="B9" t="s">
        <v>59</v>
      </c>
      <c r="C9" s="12">
        <f>IFERROR(SUM('Data Sheet'!B18,'Data Sheet'!B20:B22)-1*'Data Sheet'!B19,0)</f>
        <v>205509.07</v>
      </c>
      <c r="D9" s="12">
        <f>IFERROR(SUM('Data Sheet'!C18,'Data Sheet'!C20:C22)-1*'Data Sheet'!C19,0)</f>
        <v>205454.23999999996</v>
      </c>
      <c r="E9" s="12">
        <f>IFERROR(SUM('Data Sheet'!D18,'Data Sheet'!D20:D22)-1*'Data Sheet'!D19,0)</f>
        <v>228429.83</v>
      </c>
      <c r="F9" s="12">
        <f>IFERROR(SUM('Data Sheet'!E18,'Data Sheet'!E20:E22)-1*'Data Sheet'!E19,0)</f>
        <v>242845.53</v>
      </c>
      <c r="G9" s="12">
        <f>IFERROR(SUM('Data Sheet'!F18,'Data Sheet'!F20:F22)-1*'Data Sheet'!F19,0)</f>
        <v>210376.07000000004</v>
      </c>
      <c r="H9" s="12">
        <f>IFERROR(SUM('Data Sheet'!G18,'Data Sheet'!G20:G22)-1*'Data Sheet'!G19,0)</f>
        <v>195326.04</v>
      </c>
      <c r="I9" s="12">
        <f>IFERROR(SUM('Data Sheet'!H18,'Data Sheet'!H20:H22)-1*'Data Sheet'!H19,0)</f>
        <v>223300.00999999998</v>
      </c>
      <c r="J9" s="12">
        <f>IFERROR(SUM('Data Sheet'!I18,'Data Sheet'!I20:I22)-1*'Data Sheet'!I19,0)</f>
        <v>274403.64</v>
      </c>
      <c r="K9" s="12">
        <f>IFERROR(SUM('Data Sheet'!J18,'Data Sheet'!J20:J22)-1*'Data Sheet'!J19,0)</f>
        <v>334380</v>
      </c>
      <c r="L9" s="12">
        <f>IFERROR(SUM('Data Sheet'!K18,'Data Sheet'!K20:K22)-1*'Data Sheet'!K19,0)</f>
        <v>340809</v>
      </c>
    </row>
    <row r="10" spans="1:13" x14ac:dyDescent="0.3">
      <c r="B10" s="13" t="s">
        <v>64</v>
      </c>
      <c r="C10" s="15">
        <f>C9/C6</f>
        <v>0.75265475803309057</v>
      </c>
      <c r="D10" s="15">
        <f t="shared" ref="D10:L10" si="1">D9/D6</f>
        <v>0.76180921746770036</v>
      </c>
      <c r="E10" s="15">
        <f t="shared" si="1"/>
        <v>0.78350009919380004</v>
      </c>
      <c r="F10" s="15">
        <f t="shared" si="1"/>
        <v>0.80428832503583503</v>
      </c>
      <c r="G10" s="15">
        <f t="shared" si="1"/>
        <v>0.80582872728508226</v>
      </c>
      <c r="H10" s="15">
        <f t="shared" si="1"/>
        <v>0.7819461377791167</v>
      </c>
      <c r="I10" s="15">
        <f t="shared" si="1"/>
        <v>0.80192891728252624</v>
      </c>
      <c r="J10" s="15">
        <f t="shared" si="1"/>
        <v>0.79314982005363122</v>
      </c>
      <c r="K10" s="15">
        <f t="shared" si="1"/>
        <v>0.7704324264543243</v>
      </c>
      <c r="L10" s="15">
        <f t="shared" si="1"/>
        <v>0.77510319653396109</v>
      </c>
    </row>
    <row r="12" spans="1:13" x14ac:dyDescent="0.3">
      <c r="B12" s="26" t="s">
        <v>61</v>
      </c>
      <c r="C12" s="24">
        <f>C6-C9</f>
        <v>67536.52999999997</v>
      </c>
      <c r="D12" s="24">
        <f t="shared" ref="D12:L12" si="2">D6-D9</f>
        <v>64238.270000000048</v>
      </c>
      <c r="E12" s="24">
        <f t="shared" si="2"/>
        <v>63120.649999999994</v>
      </c>
      <c r="F12" s="24">
        <f t="shared" si="2"/>
        <v>59092.870000000024</v>
      </c>
      <c r="G12" s="24">
        <f t="shared" si="2"/>
        <v>50691.899999999965</v>
      </c>
      <c r="H12" s="24">
        <f t="shared" si="2"/>
        <v>54468.709999999992</v>
      </c>
      <c r="I12" s="24">
        <f t="shared" si="2"/>
        <v>55153.610000000015</v>
      </c>
      <c r="J12" s="24">
        <f t="shared" si="2"/>
        <v>71563.329999999958</v>
      </c>
      <c r="K12" s="24">
        <f t="shared" si="2"/>
        <v>99636</v>
      </c>
      <c r="L12" s="24">
        <f t="shared" si="2"/>
        <v>98886</v>
      </c>
    </row>
    <row r="13" spans="1:13" x14ac:dyDescent="0.3">
      <c r="B13" s="13" t="s">
        <v>65</v>
      </c>
      <c r="C13" s="15">
        <f>C12/C6</f>
        <v>0.24734524196690946</v>
      </c>
      <c r="D13" s="15">
        <f t="shared" ref="D13:L13" si="3">D12/D6</f>
        <v>0.23819078253229964</v>
      </c>
      <c r="E13" s="15">
        <f t="shared" si="3"/>
        <v>0.21649990080619999</v>
      </c>
      <c r="F13" s="15">
        <f t="shared" si="3"/>
        <v>0.19571167496416494</v>
      </c>
      <c r="G13" s="15">
        <f t="shared" si="3"/>
        <v>0.19417127271491774</v>
      </c>
      <c r="H13" s="15">
        <f t="shared" si="3"/>
        <v>0.2180538622208833</v>
      </c>
      <c r="I13" s="15">
        <f t="shared" si="3"/>
        <v>0.19807108271747378</v>
      </c>
      <c r="J13" s="15">
        <f t="shared" si="3"/>
        <v>0.20685017994636876</v>
      </c>
      <c r="K13" s="15">
        <f t="shared" si="3"/>
        <v>0.22956757354567572</v>
      </c>
      <c r="L13" s="15">
        <f t="shared" si="3"/>
        <v>0.22489680346603896</v>
      </c>
    </row>
    <row r="15" spans="1:13" x14ac:dyDescent="0.3">
      <c r="B15" t="s">
        <v>62</v>
      </c>
      <c r="C15" s="12">
        <f>IFERROR(SUM('Data Sheet'!B23:B24),0)</f>
        <v>29141.280000000002</v>
      </c>
      <c r="D15" s="12">
        <f>IFERROR(SUM('Data Sheet'!C23:C24),0)</f>
        <v>34649.58</v>
      </c>
      <c r="E15" s="12">
        <f>IFERROR(SUM('Data Sheet'!D23:D24),0)</f>
        <v>31662.97</v>
      </c>
      <c r="F15" s="12">
        <f>IFERROR(SUM('Data Sheet'!E23:E24),0)</f>
        <v>34428.54</v>
      </c>
      <c r="G15" s="12">
        <f>IFERROR(SUM('Data Sheet'!F23:F24),0)</f>
        <v>32704.83</v>
      </c>
      <c r="H15" s="12">
        <f>IFERROR(SUM('Data Sheet'!G23:G24),0)</f>
        <v>22181.280000000002</v>
      </c>
      <c r="I15" s="12">
        <f>IFERROR(SUM('Data Sheet'!H23:H24),0)</f>
        <v>30433.52</v>
      </c>
      <c r="J15" s="12">
        <f>IFERROR(SUM('Data Sheet'!I23:I24),0)</f>
        <v>39747.53</v>
      </c>
      <c r="K15" s="12">
        <f>IFERROR(SUM('Data Sheet'!J23:J24),0)</f>
        <v>41812</v>
      </c>
      <c r="L15" s="12">
        <f>IFERROR(SUM('Data Sheet'!K23:K24),0)</f>
        <v>43670</v>
      </c>
    </row>
    <row r="16" spans="1:13" x14ac:dyDescent="0.3">
      <c r="B16" s="13" t="s">
        <v>63</v>
      </c>
      <c r="C16" s="15">
        <f>C15/C6</f>
        <v>0.10672678849247161</v>
      </c>
      <c r="D16" s="15">
        <f t="shared" ref="D16:L16" si="4">D15/D6</f>
        <v>0.12847809529452636</v>
      </c>
      <c r="E16" s="15">
        <f t="shared" si="4"/>
        <v>0.10860201636437025</v>
      </c>
      <c r="F16" s="15">
        <f t="shared" si="4"/>
        <v>0.11402504616835751</v>
      </c>
      <c r="G16" s="15">
        <f t="shared" si="4"/>
        <v>0.12527323822987554</v>
      </c>
      <c r="H16" s="15">
        <f t="shared" si="4"/>
        <v>8.8798023177028354E-2</v>
      </c>
      <c r="I16" s="15">
        <f t="shared" si="4"/>
        <v>0.10929475436519734</v>
      </c>
      <c r="J16" s="15">
        <f t="shared" si="4"/>
        <v>0.11488822184383672</v>
      </c>
      <c r="K16" s="15">
        <f t="shared" si="4"/>
        <v>9.6337462213374622E-2</v>
      </c>
      <c r="L16" s="15">
        <f t="shared" si="4"/>
        <v>9.9318846018262658E-2</v>
      </c>
    </row>
    <row r="18" spans="2:12" x14ac:dyDescent="0.3">
      <c r="B18" s="26" t="s">
        <v>66</v>
      </c>
      <c r="C18" s="24">
        <f>C12-C15</f>
        <v>38395.249999999971</v>
      </c>
      <c r="D18" s="24">
        <f t="shared" ref="D18:L18" si="5">D12-D15</f>
        <v>29588.690000000046</v>
      </c>
      <c r="E18" s="24">
        <f t="shared" si="5"/>
        <v>31457.679999999993</v>
      </c>
      <c r="F18" s="24">
        <f t="shared" si="5"/>
        <v>24664.330000000024</v>
      </c>
      <c r="G18" s="24">
        <f t="shared" si="5"/>
        <v>17987.069999999963</v>
      </c>
      <c r="H18" s="24">
        <f t="shared" si="5"/>
        <v>32287.429999999989</v>
      </c>
      <c r="I18" s="24">
        <f t="shared" si="5"/>
        <v>24720.090000000015</v>
      </c>
      <c r="J18" s="24">
        <f t="shared" si="5"/>
        <v>31815.799999999959</v>
      </c>
      <c r="K18" s="24">
        <f t="shared" si="5"/>
        <v>57824</v>
      </c>
      <c r="L18" s="24">
        <f t="shared" si="5"/>
        <v>55216</v>
      </c>
    </row>
    <row r="19" spans="2:12" x14ac:dyDescent="0.3">
      <c r="B19" s="13" t="s">
        <v>67</v>
      </c>
      <c r="C19" s="15">
        <f>C18/C6</f>
        <v>0.14061845347443788</v>
      </c>
      <c r="D19" s="15">
        <f t="shared" ref="D19:L19" si="6">D18/D6</f>
        <v>0.10971268723777329</v>
      </c>
      <c r="E19" s="15">
        <f t="shared" si="6"/>
        <v>0.10789788444182975</v>
      </c>
      <c r="F19" s="15">
        <f t="shared" si="6"/>
        <v>8.1686628795807431E-2</v>
      </c>
      <c r="G19" s="15">
        <f t="shared" si="6"/>
        <v>6.8898034485042198E-2</v>
      </c>
      <c r="H19" s="15">
        <f t="shared" si="6"/>
        <v>0.12925583904385496</v>
      </c>
      <c r="I19" s="15">
        <f t="shared" si="6"/>
        <v>8.877632835227646E-2</v>
      </c>
      <c r="J19" s="15">
        <f t="shared" si="6"/>
        <v>9.1961958102532049E-2</v>
      </c>
      <c r="K19" s="15">
        <f t="shared" si="6"/>
        <v>0.13323011133230112</v>
      </c>
      <c r="L19" s="15">
        <f t="shared" si="6"/>
        <v>0.12557795744777631</v>
      </c>
    </row>
    <row r="21" spans="2:12" x14ac:dyDescent="0.3">
      <c r="B21" t="s">
        <v>6</v>
      </c>
      <c r="C21" s="12">
        <f>IFERROR('Data Sheet'!B27,0)</f>
        <v>4889.08</v>
      </c>
      <c r="D21" s="12">
        <f>IFERROR('Data Sheet'!C27,0)</f>
        <v>4238.01</v>
      </c>
      <c r="E21" s="12">
        <f>IFERROR('Data Sheet'!D27,0)</f>
        <v>4681.79</v>
      </c>
      <c r="F21" s="12">
        <f>IFERROR('Data Sheet'!E27,0)</f>
        <v>5758.6</v>
      </c>
      <c r="G21" s="12">
        <f>IFERROR('Data Sheet'!F27,0)</f>
        <v>7243.33</v>
      </c>
      <c r="H21" s="12">
        <f>IFERROR('Data Sheet'!G27,0)</f>
        <v>8097.17</v>
      </c>
      <c r="I21" s="12">
        <f>IFERROR('Data Sheet'!H27,0)</f>
        <v>9311.86</v>
      </c>
      <c r="J21" s="12">
        <f>IFERROR('Data Sheet'!I27,0)</f>
        <v>10225.48</v>
      </c>
      <c r="K21" s="12">
        <f>IFERROR('Data Sheet'!J27,0)</f>
        <v>7594</v>
      </c>
      <c r="L21" s="12">
        <f>IFERROR('Data Sheet'!K27,0)</f>
        <v>5083</v>
      </c>
    </row>
    <row r="22" spans="2:12" x14ac:dyDescent="0.3">
      <c r="B22" s="13" t="s">
        <v>68</v>
      </c>
      <c r="C22" s="15">
        <f>C21/C6</f>
        <v>1.7905727101993223E-2</v>
      </c>
      <c r="D22" s="15">
        <f t="shared" ref="D22:L22" si="7">D21/D6</f>
        <v>1.5714229512714312E-2</v>
      </c>
      <c r="E22" s="15">
        <f t="shared" si="7"/>
        <v>1.605824830060304E-2</v>
      </c>
      <c r="F22" s="15">
        <f t="shared" si="7"/>
        <v>1.9072102124141878E-2</v>
      </c>
      <c r="G22" s="15">
        <f t="shared" si="7"/>
        <v>2.7744996829752802E-2</v>
      </c>
      <c r="H22" s="15">
        <f t="shared" si="7"/>
        <v>3.2415292955516477E-2</v>
      </c>
      <c r="I22" s="15">
        <f t="shared" si="7"/>
        <v>3.3441332168710897E-2</v>
      </c>
      <c r="J22" s="15">
        <f t="shared" si="7"/>
        <v>2.9556231914277829E-2</v>
      </c>
      <c r="K22" s="15">
        <f t="shared" si="7"/>
        <v>1.7497050799970507E-2</v>
      </c>
      <c r="L22" s="15">
        <f t="shared" si="7"/>
        <v>1.1560286107415368E-2</v>
      </c>
    </row>
    <row r="24" spans="2:12" x14ac:dyDescent="0.3">
      <c r="B24" t="s">
        <v>69</v>
      </c>
      <c r="C24" s="12">
        <f>IFERROR('Data Sheet'!B26,0)</f>
        <v>16710.78</v>
      </c>
      <c r="D24" s="12">
        <f>IFERROR('Data Sheet'!C26,0)</f>
        <v>17904.990000000002</v>
      </c>
      <c r="E24" s="12">
        <f>IFERROR('Data Sheet'!D26,0)</f>
        <v>21553.59</v>
      </c>
      <c r="F24" s="12">
        <f>IFERROR('Data Sheet'!E26,0)</f>
        <v>23590.63</v>
      </c>
      <c r="G24" s="12">
        <f>IFERROR('Data Sheet'!F26,0)</f>
        <v>21425.43</v>
      </c>
      <c r="H24" s="12">
        <f>IFERROR('Data Sheet'!G26,0)</f>
        <v>23546.71</v>
      </c>
      <c r="I24" s="12">
        <f>IFERROR('Data Sheet'!H26,0)</f>
        <v>24835.69</v>
      </c>
      <c r="J24" s="12">
        <f>IFERROR('Data Sheet'!I26,0)</f>
        <v>24860.36</v>
      </c>
      <c r="K24" s="12">
        <f>IFERROR('Data Sheet'!J26,0)</f>
        <v>27239</v>
      </c>
      <c r="L24" s="12">
        <f>IFERROR('Data Sheet'!K26,0)</f>
        <v>23256</v>
      </c>
    </row>
    <row r="25" spans="2:12" x14ac:dyDescent="0.3">
      <c r="B25" s="13" t="s">
        <v>70</v>
      </c>
      <c r="C25" s="15">
        <f t="shared" ref="C25:L25" si="8">C24/C6</f>
        <v>6.1201425695927715E-2</v>
      </c>
      <c r="D25" s="15">
        <f t="shared" si="8"/>
        <v>6.63903865924938E-2</v>
      </c>
      <c r="E25" s="15">
        <f t="shared" si="8"/>
        <v>7.3927472182518786E-2</v>
      </c>
      <c r="F25" s="15">
        <f t="shared" si="8"/>
        <v>7.8130605447998658E-2</v>
      </c>
      <c r="G25" s="15">
        <f t="shared" si="8"/>
        <v>8.206839774331566E-2</v>
      </c>
      <c r="H25" s="15">
        <f t="shared" si="8"/>
        <v>9.4264230933596482E-2</v>
      </c>
      <c r="I25" s="15">
        <f t="shared" si="8"/>
        <v>8.9191478279219347E-2</v>
      </c>
      <c r="J25" s="15">
        <f t="shared" si="8"/>
        <v>7.1857611147098821E-2</v>
      </c>
      <c r="K25" s="15">
        <f t="shared" si="8"/>
        <v>6.2760359065103591E-2</v>
      </c>
      <c r="L25" s="15">
        <f t="shared" si="8"/>
        <v>5.2891208678743216E-2</v>
      </c>
    </row>
    <row r="27" spans="2:12" x14ac:dyDescent="0.3">
      <c r="B27" s="27" t="s">
        <v>154</v>
      </c>
      <c r="C27" s="28">
        <f t="shared" ref="C27:L27" si="9">C18-C24</f>
        <v>21684.469999999972</v>
      </c>
      <c r="D27" s="28">
        <f t="shared" si="9"/>
        <v>11683.700000000044</v>
      </c>
      <c r="E27" s="28">
        <f t="shared" si="9"/>
        <v>9904.0899999999929</v>
      </c>
      <c r="F27" s="28">
        <f t="shared" si="9"/>
        <v>1073.7000000000226</v>
      </c>
      <c r="G27" s="28">
        <f t="shared" si="9"/>
        <v>-3438.360000000037</v>
      </c>
      <c r="H27" s="28">
        <f t="shared" si="9"/>
        <v>8740.7199999999903</v>
      </c>
      <c r="I27" s="28">
        <f t="shared" si="9"/>
        <v>-115.59999999998399</v>
      </c>
      <c r="J27" s="28">
        <f t="shared" si="9"/>
        <v>6955.4399999999587</v>
      </c>
      <c r="K27" s="28">
        <f t="shared" si="9"/>
        <v>30585</v>
      </c>
      <c r="L27" s="28">
        <f t="shared" si="9"/>
        <v>31960</v>
      </c>
    </row>
    <row r="28" spans="2:12" x14ac:dyDescent="0.3">
      <c r="B28" s="13" t="s">
        <v>155</v>
      </c>
      <c r="C28" s="15">
        <f t="shared" ref="C28:L28" si="10">IFERROR(C27/C6,0)</f>
        <v>7.941702777851016E-2</v>
      </c>
      <c r="D28" s="15">
        <f t="shared" si="10"/>
        <v>4.3322300645279484E-2</v>
      </c>
      <c r="E28" s="15">
        <f t="shared" si="10"/>
        <v>3.3970412259310953E-2</v>
      </c>
      <c r="F28" s="15">
        <f t="shared" si="10"/>
        <v>3.5560233478087663E-3</v>
      </c>
      <c r="G28" s="15">
        <f t="shared" si="10"/>
        <v>-1.3170363258273456E-2</v>
      </c>
      <c r="H28" s="15">
        <f t="shared" si="10"/>
        <v>3.4991608110258483E-2</v>
      </c>
      <c r="I28" s="15">
        <f t="shared" si="10"/>
        <v>-4.1514992694289269E-4</v>
      </c>
      <c r="J28" s="15">
        <f t="shared" si="10"/>
        <v>2.0104346955433228E-2</v>
      </c>
      <c r="K28" s="15">
        <f t="shared" si="10"/>
        <v>7.0469752267197525E-2</v>
      </c>
      <c r="L28" s="15">
        <f t="shared" si="10"/>
        <v>7.2686748769033083E-2</v>
      </c>
    </row>
    <row r="30" spans="2:12" x14ac:dyDescent="0.3">
      <c r="B30" s="26" t="s">
        <v>71</v>
      </c>
      <c r="C30" s="24">
        <f t="shared" ref="C30:L30" si="11">IFERROR(C18-SUM(C21,C24),0)</f>
        <v>16795.38999999997</v>
      </c>
      <c r="D30" s="24">
        <f t="shared" si="11"/>
        <v>7445.690000000046</v>
      </c>
      <c r="E30" s="24">
        <f t="shared" si="11"/>
        <v>5222.299999999992</v>
      </c>
      <c r="F30" s="24">
        <f t="shared" si="11"/>
        <v>-4684.8999999999796</v>
      </c>
      <c r="G30" s="24">
        <f t="shared" si="11"/>
        <v>-10681.690000000039</v>
      </c>
      <c r="H30" s="24">
        <f t="shared" si="11"/>
        <v>643.549999999992</v>
      </c>
      <c r="I30" s="24">
        <f t="shared" si="11"/>
        <v>-9427.4599999999882</v>
      </c>
      <c r="J30" s="24">
        <f t="shared" si="11"/>
        <v>-3270.0400000000373</v>
      </c>
      <c r="K30" s="24">
        <f t="shared" si="11"/>
        <v>22991</v>
      </c>
      <c r="L30" s="24">
        <f t="shared" si="11"/>
        <v>26877</v>
      </c>
    </row>
    <row r="31" spans="2:12" x14ac:dyDescent="0.3">
      <c r="B31" s="13" t="s">
        <v>156</v>
      </c>
      <c r="C31" s="15">
        <f>C30/C6</f>
        <v>6.1511300676516931E-2</v>
      </c>
      <c r="D31" s="15">
        <f t="shared" ref="D31:L31" si="12">D30/D6</f>
        <v>2.7608071132565179E-2</v>
      </c>
      <c r="E31" s="15">
        <f t="shared" si="12"/>
        <v>1.7912163958707913E-2</v>
      </c>
      <c r="F31" s="15">
        <f t="shared" si="12"/>
        <v>-1.5516078776333117E-2</v>
      </c>
      <c r="G31" s="15">
        <f t="shared" si="12"/>
        <v>-4.0915360088026265E-2</v>
      </c>
      <c r="H31" s="15">
        <f t="shared" si="12"/>
        <v>2.5763151547420113E-3</v>
      </c>
      <c r="I31" s="15">
        <f t="shared" si="12"/>
        <v>-3.3856482095653805E-2</v>
      </c>
      <c r="J31" s="15">
        <f t="shared" si="12"/>
        <v>-9.4518849588445895E-3</v>
      </c>
      <c r="K31" s="15">
        <f t="shared" si="12"/>
        <v>5.2972701467227018E-2</v>
      </c>
      <c r="L31" s="15">
        <f t="shared" si="12"/>
        <v>6.1126462661617711E-2</v>
      </c>
    </row>
    <row r="33" spans="2:12" x14ac:dyDescent="0.3">
      <c r="B33" t="s">
        <v>72</v>
      </c>
      <c r="C33" s="12">
        <f>IFERROR('Data Sheet'!B29,0)</f>
        <v>3025.05</v>
      </c>
      <c r="D33" s="12">
        <f>IFERROR('Data Sheet'!C29,0)</f>
        <v>3251.23</v>
      </c>
      <c r="E33" s="12">
        <f>IFERROR('Data Sheet'!D29,0)</f>
        <v>4341.93</v>
      </c>
      <c r="F33" s="12">
        <f>IFERROR('Data Sheet'!E29,0)</f>
        <v>-2437.4499999999998</v>
      </c>
      <c r="G33" s="12">
        <f>IFERROR('Data Sheet'!F29,0)</f>
        <v>395.25</v>
      </c>
      <c r="H33" s="12">
        <f>IFERROR('Data Sheet'!G29,0)</f>
        <v>2541.86</v>
      </c>
      <c r="I33" s="12">
        <f>IFERROR('Data Sheet'!H29,0)</f>
        <v>4231.29</v>
      </c>
      <c r="J33" s="12">
        <f>IFERROR('Data Sheet'!I29,0)</f>
        <v>704.06</v>
      </c>
      <c r="K33" s="12">
        <f>IFERROR('Data Sheet'!J29,0)</f>
        <v>-4024</v>
      </c>
      <c r="L33" s="12">
        <f>IFERROR('Data Sheet'!K29,0)</f>
        <v>10502</v>
      </c>
    </row>
    <row r="34" spans="2:12" x14ac:dyDescent="0.3">
      <c r="B34" s="13" t="s">
        <v>73</v>
      </c>
      <c r="C34" s="15">
        <f>C33/C30</f>
        <v>0.18011192356950362</v>
      </c>
      <c r="D34" s="15">
        <f t="shared" ref="D34:L34" si="13">D33/D30</f>
        <v>0.43665932908836924</v>
      </c>
      <c r="E34" s="15">
        <f t="shared" si="13"/>
        <v>0.8314210213890445</v>
      </c>
      <c r="F34" s="15">
        <f t="shared" si="13"/>
        <v>0.52027791414971725</v>
      </c>
      <c r="G34" s="15">
        <f t="shared" si="13"/>
        <v>-3.7002571690434617E-2</v>
      </c>
      <c r="H34" s="15">
        <f t="shared" si="13"/>
        <v>3.9497474943672315</v>
      </c>
      <c r="I34" s="15">
        <f t="shared" si="13"/>
        <v>-0.4488260888935095</v>
      </c>
      <c r="J34" s="15">
        <f t="shared" si="13"/>
        <v>-0.21530623478611635</v>
      </c>
      <c r="K34" s="15">
        <f t="shared" si="13"/>
        <v>-0.17502500978643817</v>
      </c>
      <c r="L34" s="15">
        <f t="shared" si="13"/>
        <v>0.39074301447334153</v>
      </c>
    </row>
    <row r="36" spans="2:12" x14ac:dyDescent="0.3">
      <c r="B36" s="26" t="s">
        <v>74</v>
      </c>
      <c r="C36" s="24">
        <f>C30-C33</f>
        <v>13770.339999999971</v>
      </c>
      <c r="D36" s="24">
        <f t="shared" ref="D36:L36" si="14">D30-D33</f>
        <v>4194.4600000000464</v>
      </c>
      <c r="E36" s="24">
        <f t="shared" si="14"/>
        <v>880.36999999999171</v>
      </c>
      <c r="F36" s="24">
        <f t="shared" si="14"/>
        <v>-2247.4499999999798</v>
      </c>
      <c r="G36" s="24">
        <f t="shared" si="14"/>
        <v>-11076.940000000039</v>
      </c>
      <c r="H36" s="24">
        <f t="shared" si="14"/>
        <v>-1898.3100000000081</v>
      </c>
      <c r="I36" s="24">
        <f t="shared" si="14"/>
        <v>-13658.749999999989</v>
      </c>
      <c r="J36" s="24">
        <f t="shared" si="14"/>
        <v>-3974.1000000000372</v>
      </c>
      <c r="K36" s="24">
        <f t="shared" si="14"/>
        <v>27015</v>
      </c>
      <c r="L36" s="24">
        <f t="shared" si="14"/>
        <v>16375</v>
      </c>
    </row>
    <row r="37" spans="2:12" x14ac:dyDescent="0.3">
      <c r="B37" s="13" t="s">
        <v>75</v>
      </c>
      <c r="C37" s="15">
        <f>C36/C6</f>
        <v>5.0432381990407359E-2</v>
      </c>
      <c r="D37" s="15">
        <f t="shared" ref="D37:L37" si="15">D36/D6</f>
        <v>1.5552749314395296E-2</v>
      </c>
      <c r="E37" s="15">
        <f t="shared" si="15"/>
        <v>3.01961430487095E-3</v>
      </c>
      <c r="F37" s="15">
        <f t="shared" si="15"/>
        <v>-7.4434056747998256E-3</v>
      </c>
      <c r="G37" s="15">
        <f t="shared" si="15"/>
        <v>-4.2429333632923408E-2</v>
      </c>
      <c r="H37" s="15">
        <f t="shared" si="15"/>
        <v>-7.5994791724005731E-3</v>
      </c>
      <c r="I37" s="15">
        <f t="shared" si="15"/>
        <v>-4.9052154538339235E-2</v>
      </c>
      <c r="J37" s="15">
        <f t="shared" si="15"/>
        <v>-1.1486934720964945E-2</v>
      </c>
      <c r="K37" s="15">
        <f t="shared" si="15"/>
        <v>6.224424905994249E-2</v>
      </c>
      <c r="L37" s="15">
        <f t="shared" si="15"/>
        <v>3.724172437712505E-2</v>
      </c>
    </row>
    <row r="39" spans="2:12" x14ac:dyDescent="0.3">
      <c r="B39" t="s">
        <v>77</v>
      </c>
      <c r="C39">
        <f>IFERROR('Data Sheet'!B93,0)</f>
        <v>288.72000000000003</v>
      </c>
      <c r="D39">
        <f>IFERROR('Data Sheet'!C93,0)</f>
        <v>288.73</v>
      </c>
      <c r="E39">
        <f>IFERROR('Data Sheet'!D93,0)</f>
        <v>288.73</v>
      </c>
      <c r="F39">
        <f>IFERROR('Data Sheet'!E93,0)</f>
        <v>288.73</v>
      </c>
      <c r="G39">
        <f>IFERROR('Data Sheet'!F93,0)</f>
        <v>308.89999999999998</v>
      </c>
      <c r="H39">
        <f>IFERROR('Data Sheet'!G93,0)</f>
        <v>332.03</v>
      </c>
      <c r="I39">
        <f>IFERROR('Data Sheet'!H93,0)</f>
        <v>332.07</v>
      </c>
      <c r="J39">
        <f>IFERROR('Data Sheet'!I93,0)</f>
        <v>332.13</v>
      </c>
      <c r="K39">
        <f>IFERROR('Data Sheet'!J93,0)</f>
        <v>332.37</v>
      </c>
      <c r="L39">
        <f>IFERROR('Data Sheet'!K93,0)</f>
        <v>368.13</v>
      </c>
    </row>
    <row r="41" spans="2:12" x14ac:dyDescent="0.3">
      <c r="B41" t="s">
        <v>30</v>
      </c>
      <c r="C41" s="12">
        <f>IFERROR(C36/C39,0)</f>
        <v>47.694444444444336</v>
      </c>
      <c r="D41" s="12">
        <f t="shared" ref="D41:L41" si="16">IFERROR(D36/D39,0)</f>
        <v>14.527274616423808</v>
      </c>
      <c r="E41" s="12">
        <f t="shared" si="16"/>
        <v>3.049111626779315</v>
      </c>
      <c r="F41" s="12">
        <f t="shared" si="16"/>
        <v>-7.7839157690575265</v>
      </c>
      <c r="G41" s="12">
        <f t="shared" si="16"/>
        <v>-35.859307219164904</v>
      </c>
      <c r="H41" s="12">
        <f t="shared" si="16"/>
        <v>-5.7172845827184542</v>
      </c>
      <c r="I41" s="12">
        <f t="shared" si="16"/>
        <v>-41.132140813683833</v>
      </c>
      <c r="J41" s="12">
        <f t="shared" si="16"/>
        <v>-11.965495438533218</v>
      </c>
      <c r="K41" s="12">
        <f t="shared" si="16"/>
        <v>81.279898907843673</v>
      </c>
      <c r="L41" s="12">
        <f t="shared" si="16"/>
        <v>44.481569010947219</v>
      </c>
    </row>
    <row r="42" spans="2:12" x14ac:dyDescent="0.3">
      <c r="B42" s="13" t="s">
        <v>78</v>
      </c>
      <c r="C42" s="18" t="s">
        <v>60</v>
      </c>
      <c r="D42" s="15">
        <f>IFERROR(D41/C41,0)</f>
        <v>0.30459049865536303</v>
      </c>
      <c r="E42" s="15">
        <f>IFERROR(E41/D41,0)</f>
        <v>0.20988875802844273</v>
      </c>
      <c r="F42" s="15">
        <f t="shared" ref="F42:L42" si="17">IFERROR(F41/E41,0)</f>
        <v>-2.5528470983790919</v>
      </c>
      <c r="G42" s="15">
        <f t="shared" si="17"/>
        <v>4.6068467700681115</v>
      </c>
      <c r="H42" s="15">
        <f t="shared" si="17"/>
        <v>0.15943655988041142</v>
      </c>
      <c r="I42" s="15">
        <f t="shared" si="17"/>
        <v>7.194349033807641</v>
      </c>
      <c r="J42" s="15">
        <f t="shared" si="17"/>
        <v>0.29090378477340373</v>
      </c>
      <c r="K42" s="15">
        <f t="shared" si="17"/>
        <v>-6.7928569548481077</v>
      </c>
      <c r="L42" s="15">
        <f t="shared" si="17"/>
        <v>0.54726407892535722</v>
      </c>
    </row>
    <row r="44" spans="2:12" x14ac:dyDescent="0.3">
      <c r="B44" t="s">
        <v>76</v>
      </c>
      <c r="C44" s="12">
        <f>IFERROR('Data Sheet'!B31/HistoricalFS!C39,0)</f>
        <v>0.23524522028262676</v>
      </c>
      <c r="D44" s="12">
        <f>IFERROR('Data Sheet'!C31/HistoricalFS!D39,0)</f>
        <v>0</v>
      </c>
      <c r="E44" s="12">
        <f>IFERROR('Data Sheet'!D31/HistoricalFS!E39,0)</f>
        <v>0</v>
      </c>
      <c r="F44" s="12">
        <f>IFERROR('Data Sheet'!E31/HistoricalFS!F39,0)</f>
        <v>0</v>
      </c>
      <c r="G44" s="12">
        <f>IFERROR('Data Sheet'!F31/HistoricalFS!G39,0)</f>
        <v>0</v>
      </c>
      <c r="H44" s="12">
        <f>IFERROR('Data Sheet'!G31/HistoricalFS!H39,0)</f>
        <v>0</v>
      </c>
      <c r="I44" s="12">
        <f>IFERROR('Data Sheet'!H31/HistoricalFS!I39,0)</f>
        <v>0</v>
      </c>
      <c r="J44" s="12">
        <f>IFERROR('Data Sheet'!I31/HistoricalFS!J39,0)</f>
        <v>2.3063860536536898</v>
      </c>
      <c r="K44" s="12">
        <f>IFERROR('Data Sheet'!J31/HistoricalFS!K39,0)</f>
        <v>6.9230074916508713</v>
      </c>
      <c r="L44" s="12">
        <f>IFERROR('Data Sheet'!K31/HistoricalFS!L39,0)</f>
        <v>5.9978811832776469</v>
      </c>
    </row>
    <row r="45" spans="2:12" x14ac:dyDescent="0.3">
      <c r="B45" s="13" t="s">
        <v>152</v>
      </c>
      <c r="C45" s="15">
        <f>IFERROR(C44/C41,0)</f>
        <v>4.9323400874633563E-3</v>
      </c>
      <c r="D45" s="15">
        <f t="shared" ref="D45:L45" si="18">IFERROR(D44/D41,0)</f>
        <v>0</v>
      </c>
      <c r="E45" s="15">
        <f t="shared" si="18"/>
        <v>0</v>
      </c>
      <c r="F45" s="15">
        <f t="shared" si="18"/>
        <v>0</v>
      </c>
      <c r="G45" s="15">
        <f t="shared" si="18"/>
        <v>0</v>
      </c>
      <c r="H45" s="15">
        <f t="shared" si="18"/>
        <v>0</v>
      </c>
      <c r="I45" s="15">
        <f t="shared" si="18"/>
        <v>0</v>
      </c>
      <c r="J45" s="15">
        <f t="shared" si="18"/>
        <v>-0.19275307616818721</v>
      </c>
      <c r="K45" s="15">
        <f t="shared" si="18"/>
        <v>8.517490283176013E-2</v>
      </c>
      <c r="L45" s="15">
        <f t="shared" si="18"/>
        <v>0.13483969465648857</v>
      </c>
    </row>
    <row r="47" spans="2:12" x14ac:dyDescent="0.3">
      <c r="B47" t="s">
        <v>79</v>
      </c>
      <c r="C47" s="19">
        <f>IFERROR(IF(C41&gt;C44,1-C45,0),0)</f>
        <v>0.99506765991253665</v>
      </c>
      <c r="D47" s="19">
        <f t="shared" ref="D47:L47" si="19">IFERROR(IF(D41&gt;D44,1-D45,0),0)</f>
        <v>1</v>
      </c>
      <c r="E47" s="19">
        <f t="shared" si="19"/>
        <v>1</v>
      </c>
      <c r="F47" s="19">
        <f t="shared" si="19"/>
        <v>0</v>
      </c>
      <c r="G47" s="19">
        <f t="shared" si="19"/>
        <v>0</v>
      </c>
      <c r="H47" s="19">
        <f t="shared" si="19"/>
        <v>0</v>
      </c>
      <c r="I47" s="19">
        <f t="shared" si="19"/>
        <v>0</v>
      </c>
      <c r="J47" s="19">
        <f t="shared" si="19"/>
        <v>0</v>
      </c>
      <c r="K47" s="19">
        <f t="shared" si="19"/>
        <v>0.9148250971682399</v>
      </c>
      <c r="L47" s="19">
        <f t="shared" si="19"/>
        <v>0.8651603053435114</v>
      </c>
    </row>
    <row r="49" spans="1:13" x14ac:dyDescent="0.3">
      <c r="A49" s="2" t="s">
        <v>57</v>
      </c>
      <c r="B49" s="16" t="s">
        <v>80</v>
      </c>
      <c r="C49" s="16"/>
      <c r="D49" s="17"/>
      <c r="E49" s="17"/>
      <c r="F49" s="17"/>
      <c r="G49" s="17"/>
      <c r="H49" s="17"/>
      <c r="I49" s="17"/>
      <c r="J49" s="17"/>
      <c r="K49" s="17"/>
      <c r="L49" s="17"/>
    </row>
    <row r="50" spans="1:13" x14ac:dyDescent="0.3">
      <c r="B50" s="4" t="s">
        <v>10</v>
      </c>
      <c r="C50" s="12">
        <f>IFERROR('Data Sheet'!B57,0)</f>
        <v>679.18</v>
      </c>
      <c r="D50" s="12">
        <f>IFERROR('Data Sheet'!C57,0)</f>
        <v>679.22</v>
      </c>
      <c r="E50" s="12">
        <f>IFERROR('Data Sheet'!D57,0)</f>
        <v>679.22</v>
      </c>
      <c r="F50" s="12">
        <f>IFERROR('Data Sheet'!E57,0)</f>
        <v>679.22</v>
      </c>
      <c r="G50" s="12">
        <f>IFERROR('Data Sheet'!F57,0)</f>
        <v>719.54</v>
      </c>
      <c r="H50" s="12">
        <f>IFERROR('Data Sheet'!G57,0)</f>
        <v>765.81</v>
      </c>
      <c r="I50" s="12">
        <f>IFERROR('Data Sheet'!H57,0)</f>
        <v>765.88</v>
      </c>
      <c r="J50" s="12">
        <f>IFERROR('Data Sheet'!I57,0)</f>
        <v>766.02</v>
      </c>
      <c r="K50" s="12">
        <f>IFERROR('Data Sheet'!J57,0)</f>
        <v>767</v>
      </c>
      <c r="L50" s="12">
        <f>IFERROR('Data Sheet'!K57,0)</f>
        <v>736</v>
      </c>
    </row>
    <row r="51" spans="1:13" x14ac:dyDescent="0.3">
      <c r="B51" s="4" t="s">
        <v>11</v>
      </c>
      <c r="C51" s="12">
        <f>IFERROR('Data Sheet'!B58,0)</f>
        <v>78273.23</v>
      </c>
      <c r="D51" s="12">
        <f>IFERROR('Data Sheet'!C58,0)</f>
        <v>57382.67</v>
      </c>
      <c r="E51" s="12">
        <f>IFERROR('Data Sheet'!D58,0)</f>
        <v>94748.69</v>
      </c>
      <c r="F51" s="12">
        <f>IFERROR('Data Sheet'!E58,0)</f>
        <v>59500.34</v>
      </c>
      <c r="G51" s="12">
        <f>IFERROR('Data Sheet'!F58,0)</f>
        <v>62358.99</v>
      </c>
      <c r="H51" s="12">
        <f>IFERROR('Data Sheet'!G58,0)</f>
        <v>54480.91</v>
      </c>
      <c r="I51" s="12">
        <f>IFERROR('Data Sheet'!H58,0)</f>
        <v>43795.360000000001</v>
      </c>
      <c r="J51" s="12">
        <f>IFERROR('Data Sheet'!I58,0)</f>
        <v>44555.77</v>
      </c>
      <c r="K51" s="12">
        <f>IFERROR('Data Sheet'!J58,0)</f>
        <v>84151</v>
      </c>
      <c r="L51" s="12">
        <f>IFERROR('Data Sheet'!K58,0)</f>
        <v>115408</v>
      </c>
    </row>
    <row r="52" spans="1:13" x14ac:dyDescent="0.3">
      <c r="B52" s="4" t="s">
        <v>36</v>
      </c>
      <c r="C52" s="12">
        <f>IFERROR('Data Sheet'!B59,0)</f>
        <v>69359.960000000006</v>
      </c>
      <c r="D52" s="12">
        <f>IFERROR('Data Sheet'!C59,0)</f>
        <v>78603.98</v>
      </c>
      <c r="E52" s="12">
        <f>IFERROR('Data Sheet'!D59,0)</f>
        <v>88950.47</v>
      </c>
      <c r="F52" s="12">
        <f>IFERROR('Data Sheet'!E59,0)</f>
        <v>106175.34</v>
      </c>
      <c r="G52" s="12">
        <f>IFERROR('Data Sheet'!F59,0)</f>
        <v>124787.64</v>
      </c>
      <c r="H52" s="12">
        <f>IFERROR('Data Sheet'!G59,0)</f>
        <v>142130.57</v>
      </c>
      <c r="I52" s="12">
        <f>IFERROR('Data Sheet'!H59,0)</f>
        <v>146449.03</v>
      </c>
      <c r="J52" s="12">
        <f>IFERROR('Data Sheet'!I59,0)</f>
        <v>134113.44</v>
      </c>
      <c r="K52" s="12">
        <f>IFERROR('Data Sheet'!J59,0)</f>
        <v>107264</v>
      </c>
      <c r="L52" s="12">
        <f>IFERROR('Data Sheet'!K59,0)</f>
        <v>71540</v>
      </c>
    </row>
    <row r="53" spans="1:13" x14ac:dyDescent="0.3">
      <c r="B53" s="4" t="s">
        <v>37</v>
      </c>
      <c r="C53" s="12">
        <f>IFERROR('Data Sheet'!B60,0)</f>
        <v>114871.75</v>
      </c>
      <c r="D53" s="12">
        <f>IFERROR('Data Sheet'!C60,0)</f>
        <v>135914.49</v>
      </c>
      <c r="E53" s="12">
        <f>IFERROR('Data Sheet'!D60,0)</f>
        <v>142813.43</v>
      </c>
      <c r="F53" s="12">
        <f>IFERROR('Data Sheet'!E60,0)</f>
        <v>139348.59</v>
      </c>
      <c r="G53" s="12">
        <f>IFERROR('Data Sheet'!F60,0)</f>
        <v>132313.22</v>
      </c>
      <c r="H53" s="12">
        <f>IFERROR('Data Sheet'!G60,0)</f>
        <v>144192.62</v>
      </c>
      <c r="I53" s="12">
        <f>IFERROR('Data Sheet'!H60,0)</f>
        <v>138051.22</v>
      </c>
      <c r="J53" s="12">
        <f>IFERROR('Data Sheet'!I60,0)</f>
        <v>155239.20000000001</v>
      </c>
      <c r="K53" s="12">
        <f>IFERROR('Data Sheet'!J60,0)</f>
        <v>177339</v>
      </c>
      <c r="L53" s="12">
        <f>IFERROR('Data Sheet'!K60,0)</f>
        <v>189289</v>
      </c>
      <c r="M53" s="12"/>
    </row>
    <row r="54" spans="1:13" x14ac:dyDescent="0.3">
      <c r="B54" s="25" t="s">
        <v>81</v>
      </c>
      <c r="C54" s="24">
        <f>SUM(C50:C53)</f>
        <v>263184.12</v>
      </c>
      <c r="D54" s="24">
        <f t="shared" ref="D54:L54" si="20">SUM(D50:D53)</f>
        <v>272580.36</v>
      </c>
      <c r="E54" s="24">
        <f t="shared" si="20"/>
        <v>327191.81</v>
      </c>
      <c r="F54" s="24">
        <f t="shared" si="20"/>
        <v>305703.49</v>
      </c>
      <c r="G54" s="24">
        <f t="shared" si="20"/>
        <v>320179.39</v>
      </c>
      <c r="H54" s="24">
        <f t="shared" si="20"/>
        <v>341569.91000000003</v>
      </c>
      <c r="I54" s="24">
        <f t="shared" si="20"/>
        <v>329061.49</v>
      </c>
      <c r="J54" s="24">
        <f t="shared" si="20"/>
        <v>334674.43</v>
      </c>
      <c r="K54" s="24">
        <f t="shared" si="20"/>
        <v>369521</v>
      </c>
      <c r="L54" s="24">
        <f t="shared" si="20"/>
        <v>376973</v>
      </c>
    </row>
    <row r="55" spans="1:13" x14ac:dyDescent="0.3">
      <c r="B55" s="1"/>
    </row>
    <row r="56" spans="1:13" x14ac:dyDescent="0.3">
      <c r="B56" s="4" t="s">
        <v>157</v>
      </c>
      <c r="C56" s="12">
        <f>IFERROR('Data Sheet'!B62,0)</f>
        <v>107231.76</v>
      </c>
      <c r="D56" s="12">
        <f>IFERROR('Data Sheet'!C62,0)</f>
        <v>95944.08</v>
      </c>
      <c r="E56" s="12">
        <f>IFERROR('Data Sheet'!D62,0)</f>
        <v>121413.86</v>
      </c>
      <c r="F56" s="12">
        <f>IFERROR('Data Sheet'!E62,0)</f>
        <v>111234.47</v>
      </c>
      <c r="G56" s="12">
        <f>IFERROR('Data Sheet'!F62,0)</f>
        <v>127107.14</v>
      </c>
      <c r="H56" s="12">
        <f>IFERROR('Data Sheet'!G62,0)</f>
        <v>138707.60999999999</v>
      </c>
      <c r="I56" s="12">
        <f>IFERROR('Data Sheet'!H62,0)</f>
        <v>138855.45000000001</v>
      </c>
      <c r="J56" s="12">
        <f>IFERROR('Data Sheet'!I62,0)</f>
        <v>132079.76</v>
      </c>
      <c r="K56" s="12">
        <f>IFERROR('Data Sheet'!J62,0)</f>
        <v>121285</v>
      </c>
      <c r="L56" s="12">
        <f>IFERROR('Data Sheet'!K62,0)</f>
        <v>115697</v>
      </c>
    </row>
    <row r="57" spans="1:13" x14ac:dyDescent="0.3">
      <c r="B57" s="4" t="s">
        <v>14</v>
      </c>
      <c r="C57" s="12">
        <f>IFERROR('Data Sheet'!B63,0)</f>
        <v>25918.94</v>
      </c>
      <c r="D57" s="12">
        <f>IFERROR('Data Sheet'!C63,0)</f>
        <v>33698.839999999997</v>
      </c>
      <c r="E57" s="12">
        <f>IFERROR('Data Sheet'!D63,0)</f>
        <v>40033.5</v>
      </c>
      <c r="F57" s="12">
        <f>IFERROR('Data Sheet'!E63,0)</f>
        <v>31883.84</v>
      </c>
      <c r="G57" s="12">
        <f>IFERROR('Data Sheet'!F63,0)</f>
        <v>35622.29</v>
      </c>
      <c r="H57" s="12">
        <f>IFERROR('Data Sheet'!G63,0)</f>
        <v>20963.93</v>
      </c>
      <c r="I57" s="12">
        <f>IFERROR('Data Sheet'!H63,0)</f>
        <v>10251.09</v>
      </c>
      <c r="J57" s="12">
        <f>IFERROR('Data Sheet'!I63,0)</f>
        <v>14274.5</v>
      </c>
      <c r="K57" s="12">
        <f>IFERROR('Data Sheet'!J63,0)</f>
        <v>35698</v>
      </c>
      <c r="L57" s="12">
        <f>IFERROR('Data Sheet'!K63,0)</f>
        <v>65806</v>
      </c>
    </row>
    <row r="58" spans="1:13" x14ac:dyDescent="0.3">
      <c r="B58" s="4" t="s">
        <v>15</v>
      </c>
      <c r="C58" s="12">
        <f>IFERROR('Data Sheet'!B64,0)</f>
        <v>23767.02</v>
      </c>
      <c r="D58" s="12">
        <f>IFERROR('Data Sheet'!C64,0)</f>
        <v>20337.919999999998</v>
      </c>
      <c r="E58" s="12">
        <f>IFERROR('Data Sheet'!D64,0)</f>
        <v>20812.75</v>
      </c>
      <c r="F58" s="12">
        <f>IFERROR('Data Sheet'!E64,0)</f>
        <v>15770.72</v>
      </c>
      <c r="G58" s="12">
        <f>IFERROR('Data Sheet'!F64,0)</f>
        <v>16308.48</v>
      </c>
      <c r="H58" s="12">
        <f>IFERROR('Data Sheet'!G64,0)</f>
        <v>24620.28</v>
      </c>
      <c r="I58" s="12">
        <f>IFERROR('Data Sheet'!H64,0)</f>
        <v>29379.53</v>
      </c>
      <c r="J58" s="12">
        <f>IFERROR('Data Sheet'!I64,0)</f>
        <v>26379.16</v>
      </c>
      <c r="K58" s="12">
        <f>IFERROR('Data Sheet'!J64,0)</f>
        <v>22971</v>
      </c>
      <c r="L58" s="12">
        <f>IFERROR('Data Sheet'!K64,0)</f>
        <v>35656</v>
      </c>
    </row>
    <row r="59" spans="1:13" x14ac:dyDescent="0.3">
      <c r="B59" s="4" t="s">
        <v>38</v>
      </c>
      <c r="C59" s="12">
        <f>IFERROR('Data Sheet'!B65-SUM('Data Sheet'!B67:B69),0)</f>
        <v>29579.359999999986</v>
      </c>
      <c r="D59" s="12">
        <f>IFERROR('Data Sheet'!C65-SUM('Data Sheet'!C67:C69),0)</f>
        <v>37360.780000000013</v>
      </c>
      <c r="E59" s="12">
        <f>IFERROR('Data Sheet'!D65-SUM('Data Sheet'!D67:D69),0)</f>
        <v>48286.860000000015</v>
      </c>
      <c r="F59" s="12">
        <f>IFERROR('Data Sheet'!E65-SUM('Data Sheet'!E67:E69),0)</f>
        <v>56155.739999999991</v>
      </c>
      <c r="G59" s="12">
        <f>IFERROR('Data Sheet'!F65-SUM('Data Sheet'!F67:F69),0)</f>
        <v>58784.94</v>
      </c>
      <c r="H59" s="12">
        <f>IFERROR('Data Sheet'!G65-SUM('Data Sheet'!G67:G69),0)</f>
        <v>61717.959999999992</v>
      </c>
      <c r="I59" s="12">
        <f>IFERROR('Data Sheet'!H65-SUM('Data Sheet'!H67:H69),0)</f>
        <v>62223.770000000019</v>
      </c>
      <c r="J59" s="12">
        <f>IFERROR('Data Sheet'!I65-SUM('Data Sheet'!I67:I69),0)</f>
        <v>68432.090000000011</v>
      </c>
      <c r="K59" s="12">
        <f>IFERROR('Data Sheet'!J65-SUM('Data Sheet'!J67:J69),0)</f>
        <v>79020</v>
      </c>
      <c r="L59" s="12">
        <f>IFERROR('Data Sheet'!K65-SUM('Data Sheet'!K67:K69),0)</f>
        <v>58463</v>
      </c>
    </row>
    <row r="60" spans="1:13" x14ac:dyDescent="0.3">
      <c r="B60" s="25" t="s">
        <v>82</v>
      </c>
      <c r="C60" s="24">
        <f>SUM(C56:C59)</f>
        <v>186497.07999999996</v>
      </c>
      <c r="D60" s="24">
        <f t="shared" ref="D60:L60" si="21">SUM(D56:D59)</f>
        <v>187341.62</v>
      </c>
      <c r="E60" s="24">
        <f t="shared" si="21"/>
        <v>230546.97</v>
      </c>
      <c r="F60" s="24">
        <f t="shared" si="21"/>
        <v>215044.77</v>
      </c>
      <c r="G60" s="24">
        <f t="shared" si="21"/>
        <v>237822.85</v>
      </c>
      <c r="H60" s="24">
        <f t="shared" si="21"/>
        <v>246009.77999999997</v>
      </c>
      <c r="I60" s="24">
        <f t="shared" si="21"/>
        <v>240709.84000000003</v>
      </c>
      <c r="J60" s="24">
        <f t="shared" si="21"/>
        <v>241165.51</v>
      </c>
      <c r="K60" s="24">
        <f t="shared" si="21"/>
        <v>258974</v>
      </c>
      <c r="L60" s="24">
        <f t="shared" si="21"/>
        <v>275622</v>
      </c>
    </row>
    <row r="61" spans="1:13" x14ac:dyDescent="0.3">
      <c r="B61" s="1"/>
    </row>
    <row r="62" spans="1:13" x14ac:dyDescent="0.3">
      <c r="B62" s="4" t="s">
        <v>43</v>
      </c>
      <c r="C62" s="12">
        <f>IFERROR('Data Sheet'!B67,0)</f>
        <v>13570.91</v>
      </c>
      <c r="D62" s="12">
        <f>IFERROR('Data Sheet'!C67,0)</f>
        <v>14075.55</v>
      </c>
      <c r="E62" s="12">
        <f>IFERROR('Data Sheet'!D67,0)</f>
        <v>19893.3</v>
      </c>
      <c r="F62" s="12">
        <f>IFERROR('Data Sheet'!E67,0)</f>
        <v>18996.169999999998</v>
      </c>
      <c r="G62" s="12">
        <f>IFERROR('Data Sheet'!F67,0)</f>
        <v>11172.69</v>
      </c>
      <c r="H62" s="12">
        <f>IFERROR('Data Sheet'!G67,0)</f>
        <v>12679.08</v>
      </c>
      <c r="I62" s="12">
        <f>IFERROR('Data Sheet'!H67,0)</f>
        <v>12442.12</v>
      </c>
      <c r="J62" s="12">
        <f>IFERROR('Data Sheet'!I67,0)</f>
        <v>15737.97</v>
      </c>
      <c r="K62" s="12">
        <f>IFERROR('Data Sheet'!J67,0)</f>
        <v>16952</v>
      </c>
      <c r="L62" s="12">
        <f>IFERROR('Data Sheet'!K67,0)</f>
        <v>13248</v>
      </c>
    </row>
    <row r="63" spans="1:13" x14ac:dyDescent="0.3">
      <c r="B63" s="4" t="s">
        <v>29</v>
      </c>
      <c r="C63" s="12">
        <f>IFERROR('Data Sheet'!B68,0)</f>
        <v>32655.73</v>
      </c>
      <c r="D63" s="12">
        <f>IFERROR('Data Sheet'!C68,0)</f>
        <v>35085.31</v>
      </c>
      <c r="E63" s="12">
        <f>IFERROR('Data Sheet'!D68,0)</f>
        <v>42137.63</v>
      </c>
      <c r="F63" s="12">
        <f>IFERROR('Data Sheet'!E68,0)</f>
        <v>39013.730000000003</v>
      </c>
      <c r="G63" s="12">
        <f>IFERROR('Data Sheet'!F68,0)</f>
        <v>37456.879999999997</v>
      </c>
      <c r="H63" s="12">
        <f>IFERROR('Data Sheet'!G68,0)</f>
        <v>36088.589999999997</v>
      </c>
      <c r="I63" s="12">
        <f>IFERROR('Data Sheet'!H68,0)</f>
        <v>35240.339999999997</v>
      </c>
      <c r="J63" s="12">
        <f>IFERROR('Data Sheet'!I68,0)</f>
        <v>40755.39</v>
      </c>
      <c r="K63" s="12">
        <f>IFERROR('Data Sheet'!J68,0)</f>
        <v>47788</v>
      </c>
      <c r="L63" s="12">
        <f>IFERROR('Data Sheet'!K68,0)</f>
        <v>47269</v>
      </c>
    </row>
    <row r="64" spans="1:13" x14ac:dyDescent="0.3">
      <c r="B64" s="3" t="s">
        <v>52</v>
      </c>
      <c r="C64" s="12">
        <f>IFERROR('Data Sheet'!B69,0)</f>
        <v>30460.400000000001</v>
      </c>
      <c r="D64" s="12">
        <f>IFERROR('Data Sheet'!C69,0)</f>
        <v>36077.879999999997</v>
      </c>
      <c r="E64" s="12">
        <f>IFERROR('Data Sheet'!D69,0)</f>
        <v>34613.910000000003</v>
      </c>
      <c r="F64" s="12">
        <f>IFERROR('Data Sheet'!E69,0)</f>
        <v>32648.82</v>
      </c>
      <c r="G64" s="12">
        <f>IFERROR('Data Sheet'!F69,0)</f>
        <v>33726.97</v>
      </c>
      <c r="H64" s="12">
        <f>IFERROR('Data Sheet'!G69,0)</f>
        <v>46792.46</v>
      </c>
      <c r="I64" s="12">
        <f>IFERROR('Data Sheet'!H69,0)</f>
        <v>40669.19</v>
      </c>
      <c r="J64" s="12">
        <f>IFERROR('Data Sheet'!I69,0)</f>
        <v>37015.56</v>
      </c>
      <c r="K64" s="12">
        <f>IFERROR('Data Sheet'!J69,0)</f>
        <v>45807</v>
      </c>
      <c r="L64" s="12">
        <f>IFERROR('Data Sheet'!K69,0)</f>
        <v>40834</v>
      </c>
    </row>
    <row r="65" spans="1:12" x14ac:dyDescent="0.3">
      <c r="B65" s="23" t="s">
        <v>83</v>
      </c>
      <c r="C65" s="24">
        <f>SUM(C62:C64)</f>
        <v>76687.040000000008</v>
      </c>
      <c r="D65" s="24">
        <f t="shared" ref="D65:L65" si="22">SUM(D62:D64)</f>
        <v>85238.739999999991</v>
      </c>
      <c r="E65" s="24">
        <f t="shared" si="22"/>
        <v>96644.84</v>
      </c>
      <c r="F65" s="24">
        <f t="shared" si="22"/>
        <v>90658.72</v>
      </c>
      <c r="G65" s="24">
        <f t="shared" si="22"/>
        <v>82356.540000000008</v>
      </c>
      <c r="H65" s="24">
        <f t="shared" si="22"/>
        <v>95560.13</v>
      </c>
      <c r="I65" s="24">
        <f t="shared" si="22"/>
        <v>88351.65</v>
      </c>
      <c r="J65" s="24">
        <f t="shared" si="22"/>
        <v>93508.92</v>
      </c>
      <c r="K65" s="24">
        <f t="shared" si="22"/>
        <v>110547</v>
      </c>
      <c r="L65" s="24">
        <f t="shared" si="22"/>
        <v>101351</v>
      </c>
    </row>
    <row r="67" spans="1:12" x14ac:dyDescent="0.3">
      <c r="B67" s="23" t="s">
        <v>84</v>
      </c>
      <c r="C67" s="24">
        <f>SUM(C65,C60)</f>
        <v>263184.12</v>
      </c>
      <c r="D67" s="24">
        <f t="shared" ref="D67:L67" si="23">SUM(D65,D60)</f>
        <v>272580.36</v>
      </c>
      <c r="E67" s="24">
        <f t="shared" si="23"/>
        <v>327191.81</v>
      </c>
      <c r="F67" s="24">
        <f t="shared" si="23"/>
        <v>305703.49</v>
      </c>
      <c r="G67" s="24">
        <f t="shared" si="23"/>
        <v>320179.39</v>
      </c>
      <c r="H67" s="24">
        <f t="shared" si="23"/>
        <v>341569.91</v>
      </c>
      <c r="I67" s="24">
        <f t="shared" si="23"/>
        <v>329061.49</v>
      </c>
      <c r="J67" s="24">
        <f t="shared" si="23"/>
        <v>334674.43</v>
      </c>
      <c r="K67" s="24">
        <f t="shared" si="23"/>
        <v>369521</v>
      </c>
      <c r="L67" s="24">
        <f t="shared" si="23"/>
        <v>376973</v>
      </c>
    </row>
    <row r="69" spans="1:12" x14ac:dyDescent="0.3">
      <c r="B69" s="21" t="s">
        <v>85</v>
      </c>
      <c r="C69" s="21" t="b">
        <f>C67=C54</f>
        <v>1</v>
      </c>
      <c r="D69" s="21" t="b">
        <f t="shared" ref="D69:L69" si="24">D67=D54</f>
        <v>1</v>
      </c>
      <c r="E69" s="21" t="b">
        <f t="shared" si="24"/>
        <v>1</v>
      </c>
      <c r="F69" s="21" t="b">
        <f t="shared" si="24"/>
        <v>1</v>
      </c>
      <c r="G69" s="21" t="b">
        <f t="shared" si="24"/>
        <v>1</v>
      </c>
      <c r="H69" s="21" t="b">
        <f t="shared" si="24"/>
        <v>1</v>
      </c>
      <c r="I69" s="21" t="b">
        <f t="shared" si="24"/>
        <v>1</v>
      </c>
      <c r="J69" s="21" t="b">
        <f t="shared" si="24"/>
        <v>1</v>
      </c>
      <c r="K69" s="21" t="b">
        <f t="shared" si="24"/>
        <v>1</v>
      </c>
      <c r="L69" s="21" t="b">
        <f t="shared" si="24"/>
        <v>1</v>
      </c>
    </row>
    <row r="70" spans="1:12" x14ac:dyDescent="0.3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x14ac:dyDescent="0.3">
      <c r="A71" s="2" t="s">
        <v>57</v>
      </c>
      <c r="B71" s="16" t="s">
        <v>114</v>
      </c>
      <c r="C71" s="16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3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x14ac:dyDescent="0.3">
      <c r="B73" s="2" t="s">
        <v>115</v>
      </c>
      <c r="C73" s="12">
        <f>IFERROR('Data Sheet'!B82,0)</f>
        <v>37899.54</v>
      </c>
      <c r="D73" s="12">
        <f>IFERROR('Data Sheet'!C82,0)</f>
        <v>30199.25</v>
      </c>
      <c r="E73" s="12">
        <f>IFERROR('Data Sheet'!D82,0)</f>
        <v>23857.42</v>
      </c>
      <c r="F73" s="12">
        <f>IFERROR('Data Sheet'!E82,0)</f>
        <v>18890.75</v>
      </c>
      <c r="G73" s="12">
        <f>IFERROR('Data Sheet'!F82,0)</f>
        <v>26632.94</v>
      </c>
      <c r="H73" s="12">
        <f>IFERROR('Data Sheet'!G82,0)</f>
        <v>29000.51</v>
      </c>
      <c r="I73" s="12">
        <f>IFERROR('Data Sheet'!H82,0)</f>
        <v>14282.83</v>
      </c>
      <c r="J73" s="12">
        <f>IFERROR('Data Sheet'!I82,0)</f>
        <v>35388.01</v>
      </c>
      <c r="K73" s="12">
        <f>IFERROR('Data Sheet'!J82,0)</f>
        <v>67915</v>
      </c>
      <c r="L73" s="12">
        <f>IFERROR('Data Sheet'!K82,0)</f>
        <v>63102</v>
      </c>
    </row>
    <row r="74" spans="1:12" x14ac:dyDescent="0.3">
      <c r="B74" s="2" t="s">
        <v>117</v>
      </c>
      <c r="C74" s="12">
        <f>IFERROR('Data Sheet'!B83,0)</f>
        <v>-36693.9</v>
      </c>
      <c r="D74" s="12">
        <f>IFERROR('Data Sheet'!C83,0)</f>
        <v>-39571.4</v>
      </c>
      <c r="E74" s="12">
        <f>IFERROR('Data Sheet'!D83,0)</f>
        <v>-25139.14</v>
      </c>
      <c r="F74" s="12">
        <f>IFERROR('Data Sheet'!E83,0)</f>
        <v>-20878.07</v>
      </c>
      <c r="G74" s="12">
        <f>IFERROR('Data Sheet'!F83,0)</f>
        <v>-33114.550000000003</v>
      </c>
      <c r="H74" s="12">
        <f>IFERROR('Data Sheet'!G83,0)</f>
        <v>-25672.5</v>
      </c>
      <c r="I74" s="12">
        <f>IFERROR('Data Sheet'!H83,0)</f>
        <v>-4443.66</v>
      </c>
      <c r="J74" s="12">
        <f>IFERROR('Data Sheet'!I83,0)</f>
        <v>-15417.17</v>
      </c>
      <c r="K74" s="12">
        <f>IFERROR('Data Sheet'!J83,0)</f>
        <v>-22781</v>
      </c>
      <c r="L74" s="12">
        <f>IFERROR('Data Sheet'!K83,0)</f>
        <v>-49982</v>
      </c>
    </row>
    <row r="75" spans="1:12" x14ac:dyDescent="0.3">
      <c r="B75" s="2" t="s">
        <v>119</v>
      </c>
      <c r="C75" s="12">
        <f>IFERROR('Data Sheet'!B84,0)</f>
        <v>-3795.12</v>
      </c>
      <c r="D75" s="12">
        <f>IFERROR('Data Sheet'!C84,0)</f>
        <v>6205.3</v>
      </c>
      <c r="E75" s="12">
        <f>IFERROR('Data Sheet'!D84,0)</f>
        <v>2011.71</v>
      </c>
      <c r="F75" s="12">
        <f>IFERROR('Data Sheet'!E84,0)</f>
        <v>8830.3700000000008</v>
      </c>
      <c r="G75" s="12">
        <f>IFERROR('Data Sheet'!F84,0)</f>
        <v>3389.61</v>
      </c>
      <c r="H75" s="12">
        <f>IFERROR('Data Sheet'!G84,0)</f>
        <v>9904.2000000000007</v>
      </c>
      <c r="I75" s="12">
        <f>IFERROR('Data Sheet'!H84,0)</f>
        <v>-3380.17</v>
      </c>
      <c r="J75" s="12">
        <f>IFERROR('Data Sheet'!I84,0)</f>
        <v>-26242.9</v>
      </c>
      <c r="K75" s="12">
        <f>IFERROR('Data Sheet'!J84,0)</f>
        <v>-37006</v>
      </c>
      <c r="L75" s="12">
        <f>IFERROR('Data Sheet'!K84,0)</f>
        <v>-18786</v>
      </c>
    </row>
    <row r="76" spans="1:12" x14ac:dyDescent="0.3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x14ac:dyDescent="0.3">
      <c r="B77" s="2" t="s">
        <v>121</v>
      </c>
      <c r="C77" s="20">
        <f>SUM(C73:C75)</f>
        <v>-2589.4800000000005</v>
      </c>
      <c r="D77" s="20">
        <f t="shared" ref="D77:L77" si="25">SUM(D73:D75)</f>
        <v>-3166.8500000000013</v>
      </c>
      <c r="E77" s="20">
        <f t="shared" si="25"/>
        <v>729.98999999999887</v>
      </c>
      <c r="F77" s="20">
        <f t="shared" si="25"/>
        <v>6843.0500000000011</v>
      </c>
      <c r="G77" s="20">
        <f t="shared" si="25"/>
        <v>-3092.0000000000041</v>
      </c>
      <c r="H77" s="20">
        <f t="shared" si="25"/>
        <v>13232.21</v>
      </c>
      <c r="I77" s="20">
        <f t="shared" si="25"/>
        <v>6459</v>
      </c>
      <c r="J77" s="20">
        <f t="shared" si="25"/>
        <v>-6272.0599999999977</v>
      </c>
      <c r="K77" s="20">
        <f t="shared" si="25"/>
        <v>8128</v>
      </c>
      <c r="L77" s="20">
        <f t="shared" si="25"/>
        <v>-5666</v>
      </c>
    </row>
    <row r="78" spans="1:12" s="21" customFormat="1" x14ac:dyDescent="0.3"/>
    <row r="79" spans="1:12" x14ac:dyDescent="0.3">
      <c r="A79" s="2" t="s">
        <v>57</v>
      </c>
      <c r="B79" s="16" t="s">
        <v>122</v>
      </c>
      <c r="C79" s="16"/>
      <c r="D79" s="17"/>
      <c r="E79" s="17"/>
      <c r="F79" s="17"/>
      <c r="G79" s="17"/>
      <c r="H79" s="17"/>
      <c r="I79" s="17"/>
      <c r="J79" s="17"/>
      <c r="K79" s="17"/>
      <c r="L79" s="17"/>
    </row>
    <row r="81" spans="2:12" x14ac:dyDescent="0.3">
      <c r="B81" s="2" t="s">
        <v>115</v>
      </c>
    </row>
    <row r="82" spans="2:12" x14ac:dyDescent="0.3">
      <c r="B82" t="s">
        <v>87</v>
      </c>
      <c r="C82" s="12">
        <f>IFERROR('Cash Flow Data'!E4,0)</f>
        <v>38626</v>
      </c>
      <c r="D82" s="12">
        <f>IFERROR('Cash Flow Data'!F4,0)</f>
        <v>28840</v>
      </c>
      <c r="E82" s="12">
        <f>IFERROR('Cash Flow Data'!G4,0)</f>
        <v>33312</v>
      </c>
      <c r="F82" s="12">
        <f>IFERROR('Cash Flow Data'!H4,0)</f>
        <v>28771</v>
      </c>
      <c r="G82" s="12">
        <f>IFERROR('Cash Flow Data'!I4,0)</f>
        <v>23352</v>
      </c>
      <c r="H82" s="12">
        <f>IFERROR('Cash Flow Data'!J4,0)</f>
        <v>31198</v>
      </c>
      <c r="I82" s="12">
        <f>IFERROR('Cash Flow Data'!K4,0)</f>
        <v>26943</v>
      </c>
      <c r="J82" s="12">
        <f>IFERROR('Cash Flow Data'!L4,0)</f>
        <v>41694</v>
      </c>
      <c r="K82" s="12">
        <f>IFERROR('Cash Flow Data'!M4,0)</f>
        <v>65106</v>
      </c>
      <c r="L82" s="12">
        <f>IFERROR('Cash Flow Data'!N4,0)</f>
        <v>58937</v>
      </c>
    </row>
    <row r="83" spans="2:12" x14ac:dyDescent="0.3">
      <c r="B83" t="s">
        <v>43</v>
      </c>
      <c r="C83" s="12">
        <f>IFERROR('Cash Flow Data'!E5,0)</f>
        <v>-2223</v>
      </c>
      <c r="D83" s="12">
        <f>IFERROR('Cash Flow Data'!F5,0)</f>
        <v>-4152</v>
      </c>
      <c r="E83" s="12">
        <f>IFERROR('Cash Flow Data'!G5,0)</f>
        <v>-10688</v>
      </c>
      <c r="F83" s="12">
        <f>IFERROR('Cash Flow Data'!H5,0)</f>
        <v>-9109</v>
      </c>
      <c r="G83" s="12">
        <f>IFERROR('Cash Flow Data'!I5,0)</f>
        <v>9950</v>
      </c>
      <c r="H83" s="12">
        <f>IFERROR('Cash Flow Data'!J5,0)</f>
        <v>-5505</v>
      </c>
      <c r="I83" s="12">
        <f>IFERROR('Cash Flow Data'!K5,0)</f>
        <v>185</v>
      </c>
      <c r="J83" s="12">
        <f>IFERROR('Cash Flow Data'!L5,0)</f>
        <v>-2213</v>
      </c>
      <c r="K83" s="12">
        <f>IFERROR('Cash Flow Data'!M5,0)</f>
        <v>-1876</v>
      </c>
      <c r="L83" s="12">
        <f>IFERROR('Cash Flow Data'!N5,0)</f>
        <v>3573</v>
      </c>
    </row>
    <row r="84" spans="2:12" x14ac:dyDescent="0.3">
      <c r="B84" t="s">
        <v>29</v>
      </c>
      <c r="C84" s="12">
        <f>IFERROR('Cash Flow Data'!E6,0)</f>
        <v>-5743</v>
      </c>
      <c r="D84" s="12">
        <f>IFERROR('Cash Flow Data'!F6,0)</f>
        <v>-6621</v>
      </c>
      <c r="E84" s="12">
        <f>IFERROR('Cash Flow Data'!G6,0)</f>
        <v>-3560</v>
      </c>
      <c r="F84" s="12">
        <f>IFERROR('Cash Flow Data'!H6,0)</f>
        <v>2069</v>
      </c>
      <c r="G84" s="12">
        <f>IFERROR('Cash Flow Data'!I6,0)</f>
        <v>2326</v>
      </c>
      <c r="H84" s="12">
        <f>IFERROR('Cash Flow Data'!J6,0)</f>
        <v>3814</v>
      </c>
      <c r="I84" s="12">
        <f>IFERROR('Cash Flow Data'!K6,0)</f>
        <v>472</v>
      </c>
      <c r="J84" s="12">
        <f>IFERROR('Cash Flow Data'!L6,0)</f>
        <v>-5665</v>
      </c>
      <c r="K84" s="12">
        <f>IFERROR('Cash Flow Data'!M6,0)</f>
        <v>-7265</v>
      </c>
      <c r="L84" s="12">
        <f>IFERROR('Cash Flow Data'!N6,0)</f>
        <v>2127</v>
      </c>
    </row>
    <row r="85" spans="2:12" x14ac:dyDescent="0.3">
      <c r="B85" t="s">
        <v>88</v>
      </c>
      <c r="C85" s="12">
        <f>IFERROR('Cash Flow Data'!E7,0)</f>
        <v>3947</v>
      </c>
      <c r="D85" s="12">
        <f>IFERROR('Cash Flow Data'!F7,0)</f>
        <v>9301</v>
      </c>
      <c r="E85" s="12">
        <f>IFERROR('Cash Flow Data'!G7,0)</f>
        <v>7320</v>
      </c>
      <c r="F85" s="12">
        <f>IFERROR('Cash Flow Data'!H7,0)</f>
        <v>-4692</v>
      </c>
      <c r="G85" s="12">
        <f>IFERROR('Cash Flow Data'!I7,0)</f>
        <v>-8085</v>
      </c>
      <c r="H85" s="12">
        <f>IFERROR('Cash Flow Data'!J7,0)</f>
        <v>5748</v>
      </c>
      <c r="I85" s="12">
        <f>IFERROR('Cash Flow Data'!K7,0)</f>
        <v>-7012</v>
      </c>
      <c r="J85" s="12">
        <f>IFERROR('Cash Flow Data'!L7,0)</f>
        <v>6945</v>
      </c>
      <c r="K85" s="12">
        <f>IFERROR('Cash Flow Data'!M7,0)</f>
        <v>13706</v>
      </c>
      <c r="L85" s="12">
        <f>IFERROR('Cash Flow Data'!N7,0)</f>
        <v>1303</v>
      </c>
    </row>
    <row r="86" spans="2:12" x14ac:dyDescent="0.3">
      <c r="B86" t="s">
        <v>89</v>
      </c>
      <c r="C86" s="12">
        <f>IFERROR('Cash Flow Data'!E8,0)</f>
        <v>-520</v>
      </c>
      <c r="D86" s="12">
        <f>IFERROR('Cash Flow Data'!F8,0)</f>
        <v>0</v>
      </c>
      <c r="E86" s="12">
        <f>IFERROR('Cash Flow Data'!G8,0)</f>
        <v>0</v>
      </c>
      <c r="F86" s="12">
        <f>IFERROR('Cash Flow Data'!H8,0)</f>
        <v>0</v>
      </c>
      <c r="G86" s="12">
        <f>IFERROR('Cash Flow Data'!I8,0)</f>
        <v>0</v>
      </c>
      <c r="H86" s="12">
        <f>IFERROR('Cash Flow Data'!J8,0)</f>
        <v>0</v>
      </c>
      <c r="I86" s="12">
        <f>IFERROR('Cash Flow Data'!K8,0)</f>
        <v>0</v>
      </c>
      <c r="J86" s="12">
        <f>IFERROR('Cash Flow Data'!L8,0)</f>
        <v>0</v>
      </c>
      <c r="K86" s="12">
        <f>IFERROR('Cash Flow Data'!M8,0)</f>
        <v>0</v>
      </c>
      <c r="L86" s="12">
        <f>IFERROR('Cash Flow Data'!N8,0)</f>
        <v>0</v>
      </c>
    </row>
    <row r="87" spans="2:12" x14ac:dyDescent="0.3">
      <c r="B87" t="s">
        <v>90</v>
      </c>
      <c r="C87" s="12">
        <f>IFERROR('Cash Flow Data'!E9,0)</f>
        <v>5852</v>
      </c>
      <c r="D87" s="12">
        <f>IFERROR('Cash Flow Data'!F9,0)</f>
        <v>4727</v>
      </c>
      <c r="E87" s="12">
        <f>IFERROR('Cash Flow Data'!G9,0)</f>
        <v>494</v>
      </c>
      <c r="F87" s="12">
        <f>IFERROR('Cash Flow Data'!H9,0)</f>
        <v>4512</v>
      </c>
      <c r="G87" s="12">
        <f>IFERROR('Cash Flow Data'!I9,0)</f>
        <v>875</v>
      </c>
      <c r="H87" s="12">
        <f>IFERROR('Cash Flow Data'!J9,0)</f>
        <v>-4150</v>
      </c>
      <c r="I87" s="12">
        <f>IFERROR('Cash Flow Data'!K9,0)</f>
        <v>-4396</v>
      </c>
      <c r="J87" s="12">
        <f>IFERROR('Cash Flow Data'!L9,0)</f>
        <v>-2194</v>
      </c>
      <c r="K87" s="12">
        <f>IFERROR('Cash Flow Data'!M9,0)</f>
        <v>2760</v>
      </c>
      <c r="L87" s="12">
        <f>IFERROR('Cash Flow Data'!N9,0)</f>
        <v>1153</v>
      </c>
    </row>
    <row r="88" spans="2:12" x14ac:dyDescent="0.3">
      <c r="B88" t="s">
        <v>91</v>
      </c>
      <c r="C88" s="12">
        <f>IFERROR('Cash Flow Data'!E10,0)</f>
        <v>1313</v>
      </c>
      <c r="D88" s="12">
        <f>IFERROR('Cash Flow Data'!F10,0)</f>
        <v>3254</v>
      </c>
      <c r="E88" s="12">
        <f>IFERROR('Cash Flow Data'!G10,0)</f>
        <v>-6434</v>
      </c>
      <c r="F88" s="12">
        <f>IFERROR('Cash Flow Data'!H10,0)</f>
        <v>-7221</v>
      </c>
      <c r="G88" s="12">
        <f>IFERROR('Cash Flow Data'!I10,0)</f>
        <v>5065</v>
      </c>
      <c r="H88" s="12">
        <f>IFERROR('Cash Flow Data'!J10,0)</f>
        <v>-93</v>
      </c>
      <c r="I88" s="12">
        <f>IFERROR('Cash Flow Data'!K10,0)</f>
        <v>-10750</v>
      </c>
      <c r="J88" s="12">
        <f>IFERROR('Cash Flow Data'!L10,0)</f>
        <v>-3127</v>
      </c>
      <c r="K88" s="12">
        <f>IFERROR('Cash Flow Data'!M10,0)</f>
        <v>7325</v>
      </c>
      <c r="L88" s="12">
        <f>IFERROR('Cash Flow Data'!N10,0)</f>
        <v>8156</v>
      </c>
    </row>
    <row r="89" spans="2:12" x14ac:dyDescent="0.3">
      <c r="B89" t="s">
        <v>92</v>
      </c>
      <c r="C89" s="12">
        <f>IFERROR('Cash Flow Data'!E11,0)</f>
        <v>-2040</v>
      </c>
      <c r="D89" s="12">
        <f>IFERROR('Cash Flow Data'!F11,0)</f>
        <v>-1895</v>
      </c>
      <c r="E89" s="12">
        <f>IFERROR('Cash Flow Data'!G11,0)</f>
        <v>-3021</v>
      </c>
      <c r="F89" s="12">
        <f>IFERROR('Cash Flow Data'!H11,0)</f>
        <v>-2659</v>
      </c>
      <c r="G89" s="12">
        <f>IFERROR('Cash Flow Data'!I11,0)</f>
        <v>-1785</v>
      </c>
      <c r="H89" s="12">
        <f>IFERROR('Cash Flow Data'!J11,0)</f>
        <v>-2105</v>
      </c>
      <c r="I89" s="12">
        <f>IFERROR('Cash Flow Data'!K11,0)</f>
        <v>-1910</v>
      </c>
      <c r="J89" s="12">
        <f>IFERROR('Cash Flow Data'!L11,0)</f>
        <v>-3179</v>
      </c>
      <c r="K89" s="12">
        <f>IFERROR('Cash Flow Data'!M11,0)</f>
        <v>-4516</v>
      </c>
      <c r="L89" s="12">
        <f>IFERROR('Cash Flow Data'!N11,0)</f>
        <v>-3991</v>
      </c>
    </row>
    <row r="90" spans="2:12" x14ac:dyDescent="0.3">
      <c r="B90" s="2" t="s">
        <v>116</v>
      </c>
      <c r="C90" s="20">
        <f>IFERROR(SUM(C82:C89),0)</f>
        <v>39212</v>
      </c>
      <c r="D90" s="20">
        <f t="shared" ref="D90:L90" si="26">IFERROR(SUM(D82:D89),0)</f>
        <v>33454</v>
      </c>
      <c r="E90" s="20">
        <f t="shared" si="26"/>
        <v>17423</v>
      </c>
      <c r="F90" s="20">
        <f t="shared" si="26"/>
        <v>11671</v>
      </c>
      <c r="G90" s="20">
        <f t="shared" si="26"/>
        <v>31698</v>
      </c>
      <c r="H90" s="20">
        <f t="shared" si="26"/>
        <v>28907</v>
      </c>
      <c r="I90" s="20">
        <f t="shared" si="26"/>
        <v>3532</v>
      </c>
      <c r="J90" s="20">
        <f t="shared" si="26"/>
        <v>32261</v>
      </c>
      <c r="K90" s="20">
        <f t="shared" si="26"/>
        <v>75240</v>
      </c>
      <c r="L90" s="20">
        <f t="shared" si="26"/>
        <v>71258</v>
      </c>
    </row>
    <row r="92" spans="2:12" x14ac:dyDescent="0.3">
      <c r="B92" s="2" t="s">
        <v>117</v>
      </c>
    </row>
    <row r="93" spans="2:12" x14ac:dyDescent="0.3">
      <c r="B93" t="s">
        <v>94</v>
      </c>
      <c r="C93" s="12">
        <f>IFERROR('Cash Flow Data'!E13,0)</f>
        <v>-31503</v>
      </c>
      <c r="D93" s="12">
        <f>IFERROR('Cash Flow Data'!F13,0)</f>
        <v>-16072</v>
      </c>
      <c r="E93" s="12">
        <f>IFERROR('Cash Flow Data'!G13,0)</f>
        <v>-35079</v>
      </c>
      <c r="F93" s="12">
        <f>IFERROR('Cash Flow Data'!H13,0)</f>
        <v>-35304</v>
      </c>
      <c r="G93" s="12">
        <f>IFERROR('Cash Flow Data'!I13,0)</f>
        <v>-29702</v>
      </c>
      <c r="H93" s="12">
        <f>IFERROR('Cash Flow Data'!J13,0)</f>
        <v>-20205</v>
      </c>
      <c r="I93" s="12">
        <f>IFERROR('Cash Flow Data'!K13,0)</f>
        <v>-15168</v>
      </c>
      <c r="J93" s="12">
        <f>IFERROR('Cash Flow Data'!L13,0)</f>
        <v>-19230</v>
      </c>
      <c r="K93" s="12">
        <f>IFERROR('Cash Flow Data'!M13,0)</f>
        <v>-31414</v>
      </c>
      <c r="L93" s="12">
        <f>IFERROR('Cash Flow Data'!N13,0)</f>
        <v>-38042</v>
      </c>
    </row>
    <row r="94" spans="2:12" x14ac:dyDescent="0.3">
      <c r="B94" t="s">
        <v>95</v>
      </c>
      <c r="C94" s="12">
        <f>IFERROR('Cash Flow Data'!E14,0)</f>
        <v>59</v>
      </c>
      <c r="D94" s="12">
        <f>IFERROR('Cash Flow Data'!F14,0)</f>
        <v>53</v>
      </c>
      <c r="E94" s="12">
        <f>IFERROR('Cash Flow Data'!G14,0)</f>
        <v>30</v>
      </c>
      <c r="F94" s="12">
        <f>IFERROR('Cash Flow Data'!H14,0)</f>
        <v>67</v>
      </c>
      <c r="G94" s="12">
        <f>IFERROR('Cash Flow Data'!I14,0)</f>
        <v>171</v>
      </c>
      <c r="H94" s="12">
        <f>IFERROR('Cash Flow Data'!J14,0)</f>
        <v>351</v>
      </c>
      <c r="I94" s="12">
        <f>IFERROR('Cash Flow Data'!K14,0)</f>
        <v>230</v>
      </c>
      <c r="J94" s="12">
        <f>IFERROR('Cash Flow Data'!L14,0)</f>
        <v>285</v>
      </c>
      <c r="K94" s="12">
        <f>IFERROR('Cash Flow Data'!M14,0)</f>
        <v>231</v>
      </c>
      <c r="L94" s="12">
        <f>IFERROR('Cash Flow Data'!N14,0)</f>
        <v>974</v>
      </c>
    </row>
    <row r="95" spans="2:12" x14ac:dyDescent="0.3">
      <c r="B95" t="s">
        <v>96</v>
      </c>
      <c r="C95" s="12">
        <f>IFERROR('Cash Flow Data'!E15,0)</f>
        <v>-4728</v>
      </c>
      <c r="D95" s="12">
        <f>IFERROR('Cash Flow Data'!F15,0)</f>
        <v>-6</v>
      </c>
      <c r="E95" s="12">
        <f>IFERROR('Cash Flow Data'!G15,0)</f>
        <v>-329</v>
      </c>
      <c r="F95" s="12">
        <f>IFERROR('Cash Flow Data'!H15,0)</f>
        <v>-130</v>
      </c>
      <c r="G95" s="12">
        <f>IFERROR('Cash Flow Data'!I15,0)</f>
        <v>-1439</v>
      </c>
      <c r="H95" s="12">
        <f>IFERROR('Cash Flow Data'!J15,0)</f>
        <v>-7530</v>
      </c>
      <c r="I95" s="12">
        <f>IFERROR('Cash Flow Data'!K15,0)</f>
        <v>-3008</v>
      </c>
      <c r="J95" s="12">
        <f>IFERROR('Cash Flow Data'!L15,0)</f>
        <v>-50</v>
      </c>
      <c r="K95" s="12">
        <f>IFERROR('Cash Flow Data'!M15,0)</f>
        <v>-74</v>
      </c>
      <c r="L95" s="12">
        <f>IFERROR('Cash Flow Data'!N15,0)</f>
        <v>-12677</v>
      </c>
    </row>
    <row r="96" spans="2:12" x14ac:dyDescent="0.3">
      <c r="B96" t="s">
        <v>97</v>
      </c>
      <c r="C96" s="12">
        <f>IFERROR('Cash Flow Data'!E16,0)</f>
        <v>89</v>
      </c>
      <c r="D96" s="12">
        <f>IFERROR('Cash Flow Data'!F16,0)</f>
        <v>1965</v>
      </c>
      <c r="E96" s="12">
        <f>IFERROR('Cash Flow Data'!G16,0)</f>
        <v>2381</v>
      </c>
      <c r="F96" s="12">
        <f>IFERROR('Cash Flow Data'!H16,0)</f>
        <v>5644</v>
      </c>
      <c r="G96" s="12">
        <f>IFERROR('Cash Flow Data'!I16,0)</f>
        <v>21</v>
      </c>
      <c r="H96" s="12">
        <f>IFERROR('Cash Flow Data'!J16,0)</f>
        <v>226</v>
      </c>
      <c r="I96" s="12">
        <f>IFERROR('Cash Flow Data'!K16,0)</f>
        <v>104</v>
      </c>
      <c r="J96" s="12">
        <f>IFERROR('Cash Flow Data'!L16,0)</f>
        <v>6895</v>
      </c>
      <c r="K96" s="12">
        <f>IFERROR('Cash Flow Data'!M16,0)</f>
        <v>10821</v>
      </c>
      <c r="L96" s="12">
        <f>IFERROR('Cash Flow Data'!N16,0)</f>
        <v>111</v>
      </c>
    </row>
    <row r="97" spans="2:12" x14ac:dyDescent="0.3">
      <c r="B97" t="s">
        <v>98</v>
      </c>
      <c r="C97" s="12">
        <f>IFERROR('Cash Flow Data'!E17,0)</f>
        <v>731</v>
      </c>
      <c r="D97" s="12">
        <f>IFERROR('Cash Flow Data'!F17,0)</f>
        <v>638</v>
      </c>
      <c r="E97" s="12">
        <f>IFERROR('Cash Flow Data'!G17,0)</f>
        <v>690</v>
      </c>
      <c r="F97" s="12">
        <f>IFERROR('Cash Flow Data'!H17,0)</f>
        <v>761</v>
      </c>
      <c r="G97" s="12">
        <f>IFERROR('Cash Flow Data'!I17,0)</f>
        <v>1104</v>
      </c>
      <c r="H97" s="12">
        <f>IFERROR('Cash Flow Data'!J17,0)</f>
        <v>428</v>
      </c>
      <c r="I97" s="12">
        <f>IFERROR('Cash Flow Data'!K17,0)</f>
        <v>653</v>
      </c>
      <c r="J97" s="12">
        <f>IFERROR('Cash Flow Data'!L17,0)</f>
        <v>973</v>
      </c>
      <c r="K97" s="12">
        <f>IFERROR('Cash Flow Data'!M17,0)</f>
        <v>2493</v>
      </c>
      <c r="L97" s="12">
        <f>IFERROR('Cash Flow Data'!N17,0)</f>
        <v>2420</v>
      </c>
    </row>
    <row r="98" spans="2:12" x14ac:dyDescent="0.3">
      <c r="B98" t="s">
        <v>99</v>
      </c>
      <c r="C98" s="12">
        <f>IFERROR('Cash Flow Data'!E18,0)</f>
        <v>58</v>
      </c>
      <c r="D98" s="12">
        <f>IFERROR('Cash Flow Data'!F18,0)</f>
        <v>620</v>
      </c>
      <c r="E98" s="12">
        <f>IFERROR('Cash Flow Data'!G18,0)</f>
        <v>1797</v>
      </c>
      <c r="F98" s="12">
        <f>IFERROR('Cash Flow Data'!H18,0)</f>
        <v>232</v>
      </c>
      <c r="G98" s="12">
        <f>IFERROR('Cash Flow Data'!I18,0)</f>
        <v>21</v>
      </c>
      <c r="H98" s="12">
        <f>IFERROR('Cash Flow Data'!J18,0)</f>
        <v>18</v>
      </c>
      <c r="I98" s="12">
        <f>IFERROR('Cash Flow Data'!K18,0)</f>
        <v>32</v>
      </c>
      <c r="J98" s="12">
        <f>IFERROR('Cash Flow Data'!L18,0)</f>
        <v>46</v>
      </c>
      <c r="K98" s="12">
        <f>IFERROR('Cash Flow Data'!M18,0)</f>
        <v>47</v>
      </c>
      <c r="L98" s="12">
        <f>IFERROR('Cash Flow Data'!N18,0)</f>
        <v>64</v>
      </c>
    </row>
    <row r="99" spans="2:12" x14ac:dyDescent="0.3">
      <c r="B99" t="s">
        <v>100</v>
      </c>
      <c r="C99" s="12">
        <f>IFERROR('Cash Flow Data'!E19,0)</f>
        <v>0</v>
      </c>
      <c r="D99" s="12">
        <f>IFERROR('Cash Flow Data'!F19,0)</f>
        <v>-107</v>
      </c>
      <c r="E99" s="12">
        <f>IFERROR('Cash Flow Data'!G19,0)</f>
        <v>-4</v>
      </c>
      <c r="F99" s="12">
        <f>IFERROR('Cash Flow Data'!H19,0)</f>
        <v>-9</v>
      </c>
      <c r="G99" s="12">
        <f>IFERROR('Cash Flow Data'!I19,0)</f>
        <v>-606</v>
      </c>
      <c r="H99" s="12">
        <f>IFERROR('Cash Flow Data'!J19,0)</f>
        <v>-10</v>
      </c>
      <c r="I99" s="12">
        <f>IFERROR('Cash Flow Data'!K19,0)</f>
        <v>0</v>
      </c>
      <c r="J99" s="12">
        <f>IFERROR('Cash Flow Data'!L19,0)</f>
        <v>0</v>
      </c>
      <c r="K99" s="12">
        <f>IFERROR('Cash Flow Data'!M19,0)</f>
        <v>-150</v>
      </c>
      <c r="L99" s="12">
        <f>IFERROR('Cash Flow Data'!N19,0)</f>
        <v>0</v>
      </c>
    </row>
    <row r="100" spans="2:12" x14ac:dyDescent="0.3">
      <c r="B100" t="s">
        <v>101</v>
      </c>
      <c r="C100" s="12">
        <f>IFERROR('Cash Flow Data'!E20,0)</f>
        <v>0</v>
      </c>
      <c r="D100" s="12">
        <f>IFERROR('Cash Flow Data'!F20,0)</f>
        <v>0</v>
      </c>
      <c r="E100" s="12">
        <f>IFERROR('Cash Flow Data'!G20,0)</f>
        <v>14</v>
      </c>
      <c r="F100" s="12">
        <f>IFERROR('Cash Flow Data'!H20,0)</f>
        <v>533</v>
      </c>
      <c r="G100" s="12">
        <f>IFERROR('Cash Flow Data'!I20,0)</f>
        <v>0</v>
      </c>
      <c r="H100" s="12">
        <f>IFERROR('Cash Flow Data'!J20,0)</f>
        <v>0</v>
      </c>
      <c r="I100" s="12">
        <f>IFERROR('Cash Flow Data'!K20,0)</f>
        <v>0</v>
      </c>
      <c r="J100" s="12">
        <f>IFERROR('Cash Flow Data'!L20,0)</f>
        <v>19</v>
      </c>
      <c r="K100" s="12">
        <f>IFERROR('Cash Flow Data'!M20,0)</f>
        <v>107</v>
      </c>
      <c r="L100" s="12">
        <f>IFERROR('Cash Flow Data'!N20,0)</f>
        <v>765</v>
      </c>
    </row>
    <row r="101" spans="2:12" x14ac:dyDescent="0.3">
      <c r="B101" t="s">
        <v>102</v>
      </c>
      <c r="C101" s="12">
        <f>IFERROR('Cash Flow Data'!E21,0)</f>
        <v>-111</v>
      </c>
      <c r="D101" s="12">
        <f>IFERROR('Cash Flow Data'!F21,0)</f>
        <v>0</v>
      </c>
      <c r="E101" s="12">
        <f>IFERROR('Cash Flow Data'!G21,0)</f>
        <v>0</v>
      </c>
      <c r="F101" s="12">
        <f>IFERROR('Cash Flow Data'!H21,0)</f>
        <v>-8</v>
      </c>
      <c r="G101" s="12">
        <f>IFERROR('Cash Flow Data'!I21,0)</f>
        <v>-27</v>
      </c>
      <c r="H101" s="12">
        <f>IFERROR('Cash Flow Data'!J21,0)</f>
        <v>0</v>
      </c>
      <c r="I101" s="12">
        <f>IFERROR('Cash Flow Data'!K21,0)</f>
        <v>-98</v>
      </c>
      <c r="J101" s="12">
        <f>IFERROR('Cash Flow Data'!L21,0)</f>
        <v>0</v>
      </c>
      <c r="K101" s="12">
        <f>IFERROR('Cash Flow Data'!M21,0)</f>
        <v>0</v>
      </c>
      <c r="L101" s="12">
        <f>IFERROR('Cash Flow Data'!N21,0)</f>
        <v>-688</v>
      </c>
    </row>
    <row r="102" spans="2:12" x14ac:dyDescent="0.3">
      <c r="B102" t="s">
        <v>103</v>
      </c>
      <c r="C102" s="12">
        <f>IFERROR('Cash Flow Data'!E22,0)</f>
        <v>0</v>
      </c>
      <c r="D102" s="12">
        <f>IFERROR('Cash Flow Data'!F22,0)</f>
        <v>0</v>
      </c>
      <c r="E102" s="12">
        <f>IFERROR('Cash Flow Data'!G22,0)</f>
        <v>0</v>
      </c>
      <c r="F102" s="12">
        <f>IFERROR('Cash Flow Data'!H22,0)</f>
        <v>0</v>
      </c>
      <c r="G102" s="12">
        <f>IFERROR('Cash Flow Data'!I22,0)</f>
        <v>0</v>
      </c>
      <c r="H102" s="12">
        <f>IFERROR('Cash Flow Data'!J22,0)</f>
        <v>0</v>
      </c>
      <c r="I102" s="12">
        <f>IFERROR('Cash Flow Data'!K22,0)</f>
        <v>0</v>
      </c>
      <c r="J102" s="12">
        <f>IFERROR('Cash Flow Data'!L22,0)</f>
        <v>0</v>
      </c>
      <c r="K102" s="12">
        <f>IFERROR('Cash Flow Data'!M22,0)</f>
        <v>-25</v>
      </c>
      <c r="L102" s="12">
        <f>IFERROR('Cash Flow Data'!N22,0)</f>
        <v>-20</v>
      </c>
    </row>
    <row r="103" spans="2:12" x14ac:dyDescent="0.3">
      <c r="B103" t="s">
        <v>104</v>
      </c>
      <c r="C103" s="12">
        <f>IFERROR('Cash Flow Data'!E23,0)</f>
        <v>-1289</v>
      </c>
      <c r="D103" s="12">
        <f>IFERROR('Cash Flow Data'!F23,0)</f>
        <v>-26663</v>
      </c>
      <c r="E103" s="12">
        <f>IFERROR('Cash Flow Data'!G23,0)</f>
        <v>5360</v>
      </c>
      <c r="F103" s="12">
        <f>IFERROR('Cash Flow Data'!H23,0)</f>
        <v>7335</v>
      </c>
      <c r="G103" s="12">
        <f>IFERROR('Cash Flow Data'!I23,0)</f>
        <v>-2659</v>
      </c>
      <c r="H103" s="12">
        <f>IFERROR('Cash Flow Data'!J23,0)</f>
        <v>1051</v>
      </c>
      <c r="I103" s="12">
        <f>IFERROR('Cash Flow Data'!K23,0)</f>
        <v>12813</v>
      </c>
      <c r="J103" s="12">
        <f>IFERROR('Cash Flow Data'!L23,0)</f>
        <v>-4357</v>
      </c>
      <c r="K103" s="12">
        <f>IFERROR('Cash Flow Data'!M23,0)</f>
        <v>-4817</v>
      </c>
      <c r="L103" s="12">
        <f>IFERROR('Cash Flow Data'!N23,0)</f>
        <v>-2889</v>
      </c>
    </row>
    <row r="104" spans="2:12" x14ac:dyDescent="0.3">
      <c r="B104" s="2" t="s">
        <v>118</v>
      </c>
      <c r="C104" s="20">
        <f>SUM(C93:C103)</f>
        <v>-36694</v>
      </c>
      <c r="D104" s="20">
        <f t="shared" ref="D104:L104" si="27">SUM(D93:D103)</f>
        <v>-39572</v>
      </c>
      <c r="E104" s="20">
        <f t="shared" si="27"/>
        <v>-25140</v>
      </c>
      <c r="F104" s="20">
        <f t="shared" si="27"/>
        <v>-20879</v>
      </c>
      <c r="G104" s="20">
        <f t="shared" si="27"/>
        <v>-33116</v>
      </c>
      <c r="H104" s="20">
        <f t="shared" si="27"/>
        <v>-25671</v>
      </c>
      <c r="I104" s="20">
        <f t="shared" si="27"/>
        <v>-4442</v>
      </c>
      <c r="J104" s="20">
        <f t="shared" si="27"/>
        <v>-15419</v>
      </c>
      <c r="K104" s="20">
        <f t="shared" si="27"/>
        <v>-22781</v>
      </c>
      <c r="L104" s="20">
        <f t="shared" si="27"/>
        <v>-49982</v>
      </c>
    </row>
    <row r="105" spans="2:12" x14ac:dyDescent="0.3">
      <c r="B105" s="20"/>
    </row>
    <row r="106" spans="2:12" x14ac:dyDescent="0.3">
      <c r="B106" s="2" t="s">
        <v>119</v>
      </c>
    </row>
    <row r="107" spans="2:12" x14ac:dyDescent="0.3">
      <c r="B107" t="s">
        <v>106</v>
      </c>
      <c r="C107" s="12">
        <f>IFERROR('Cash Flow Data'!E25,0)</f>
        <v>7433</v>
      </c>
      <c r="D107" s="12">
        <f>IFERROR('Cash Flow Data'!F25,0)</f>
        <v>5</v>
      </c>
      <c r="E107" s="12">
        <f>IFERROR('Cash Flow Data'!G25,0)</f>
        <v>0</v>
      </c>
      <c r="F107" s="12">
        <f>IFERROR('Cash Flow Data'!H25,0)</f>
        <v>0</v>
      </c>
      <c r="G107" s="12">
        <f>IFERROR('Cash Flow Data'!I25,0)</f>
        <v>3889</v>
      </c>
      <c r="H107" s="12">
        <f>IFERROR('Cash Flow Data'!J25,0)</f>
        <v>2603</v>
      </c>
      <c r="I107" s="12">
        <f>IFERROR('Cash Flow Data'!K25,0)</f>
        <v>19</v>
      </c>
      <c r="J107" s="12">
        <f>IFERROR('Cash Flow Data'!L25,0)</f>
        <v>20</v>
      </c>
      <c r="K107" s="12">
        <f>IFERROR('Cash Flow Data'!M25,0)</f>
        <v>82</v>
      </c>
      <c r="L107" s="12">
        <f>IFERROR('Cash Flow Data'!N25,0)</f>
        <v>1108</v>
      </c>
    </row>
    <row r="108" spans="2:12" x14ac:dyDescent="0.3">
      <c r="B108" t="s">
        <v>107</v>
      </c>
      <c r="C108" s="12">
        <f>IFERROR('Cash Flow Data'!E26,0)</f>
        <v>0</v>
      </c>
      <c r="D108" s="12">
        <f>IFERROR('Cash Flow Data'!F26,0)</f>
        <v>0</v>
      </c>
      <c r="E108" s="12">
        <f>IFERROR('Cash Flow Data'!G26,0)</f>
        <v>0</v>
      </c>
      <c r="F108" s="12">
        <f>IFERROR('Cash Flow Data'!H26,0)</f>
        <v>0</v>
      </c>
      <c r="G108" s="12">
        <f>IFERROR('Cash Flow Data'!I26,0)</f>
        <v>0</v>
      </c>
      <c r="H108" s="12">
        <f>IFERROR('Cash Flow Data'!J26,0)</f>
        <v>0</v>
      </c>
      <c r="I108" s="12">
        <f>IFERROR('Cash Flow Data'!K26,0)</f>
        <v>0</v>
      </c>
      <c r="J108" s="12">
        <f>IFERROR('Cash Flow Data'!L26,0)</f>
        <v>0</v>
      </c>
      <c r="K108" s="12">
        <f>IFERROR('Cash Flow Data'!M26,0)</f>
        <v>0</v>
      </c>
      <c r="L108" s="12">
        <f>IFERROR('Cash Flow Data'!N26,0)</f>
        <v>0</v>
      </c>
    </row>
    <row r="109" spans="2:12" x14ac:dyDescent="0.3">
      <c r="B109" t="s">
        <v>108</v>
      </c>
      <c r="C109" s="12">
        <f>IFERROR('Cash Flow Data'!E27,0)</f>
        <v>19519</v>
      </c>
      <c r="D109" s="12">
        <f>IFERROR('Cash Flow Data'!F27,0)</f>
        <v>33390</v>
      </c>
      <c r="E109" s="12">
        <f>IFERROR('Cash Flow Data'!G27,0)</f>
        <v>37482</v>
      </c>
      <c r="F109" s="12">
        <f>IFERROR('Cash Flow Data'!H27,0)</f>
        <v>51128</v>
      </c>
      <c r="G109" s="12">
        <f>IFERROR('Cash Flow Data'!I27,0)</f>
        <v>38297</v>
      </c>
      <c r="H109" s="12">
        <f>IFERROR('Cash Flow Data'!J27,0)</f>
        <v>46641</v>
      </c>
      <c r="I109" s="12">
        <f>IFERROR('Cash Flow Data'!K27,0)</f>
        <v>46578</v>
      </c>
      <c r="J109" s="12">
        <f>IFERROR('Cash Flow Data'!L27,0)</f>
        <v>43934</v>
      </c>
      <c r="K109" s="12">
        <f>IFERROR('Cash Flow Data'!M27,0)</f>
        <v>18829</v>
      </c>
      <c r="L109" s="12">
        <f>IFERROR('Cash Flow Data'!N27,0)</f>
        <v>13384</v>
      </c>
    </row>
    <row r="110" spans="2:12" x14ac:dyDescent="0.3">
      <c r="B110" t="s">
        <v>109</v>
      </c>
      <c r="C110" s="12">
        <f>IFERROR('Cash Flow Data'!E28,0)</f>
        <v>-24924</v>
      </c>
      <c r="D110" s="12">
        <f>IFERROR('Cash Flow Data'!F28,0)</f>
        <v>-21732</v>
      </c>
      <c r="E110" s="12">
        <f>IFERROR('Cash Flow Data'!G28,0)</f>
        <v>-29964</v>
      </c>
      <c r="F110" s="12">
        <f>IFERROR('Cash Flow Data'!H28,0)</f>
        <v>-35198</v>
      </c>
      <c r="G110" s="12">
        <f>IFERROR('Cash Flow Data'!I28,0)</f>
        <v>-29847</v>
      </c>
      <c r="H110" s="12">
        <f>IFERROR('Cash Flow Data'!J28,0)</f>
        <v>-29709</v>
      </c>
      <c r="I110" s="12">
        <f>IFERROR('Cash Flow Data'!K28,0)</f>
        <v>-42816</v>
      </c>
      <c r="J110" s="12">
        <f>IFERROR('Cash Flow Data'!L28,0)</f>
        <v>-62557</v>
      </c>
      <c r="K110" s="12">
        <f>IFERROR('Cash Flow Data'!M28,0)</f>
        <v>-47414</v>
      </c>
      <c r="L110" s="12">
        <f>IFERROR('Cash Flow Data'!N28,0)</f>
        <v>-21443</v>
      </c>
    </row>
    <row r="111" spans="2:12" x14ac:dyDescent="0.3">
      <c r="B111" t="s">
        <v>110</v>
      </c>
      <c r="C111" s="12">
        <f>IFERROR('Cash Flow Data'!E29,0)</f>
        <v>-5716</v>
      </c>
      <c r="D111" s="12">
        <f>IFERROR('Cash Flow Data'!F29,0)</f>
        <v>-5336</v>
      </c>
      <c r="E111" s="12">
        <f>IFERROR('Cash Flow Data'!G29,0)</f>
        <v>-5411</v>
      </c>
      <c r="F111" s="12">
        <f>IFERROR('Cash Flow Data'!H29,0)</f>
        <v>-7005</v>
      </c>
      <c r="G111" s="12">
        <f>IFERROR('Cash Flow Data'!I29,0)</f>
        <v>-7518</v>
      </c>
      <c r="H111" s="12">
        <f>IFERROR('Cash Flow Data'!J29,0)</f>
        <v>-8123</v>
      </c>
      <c r="I111" s="12">
        <f>IFERROR('Cash Flow Data'!K29,0)</f>
        <v>-9251</v>
      </c>
      <c r="J111" s="12">
        <f>IFERROR('Cash Flow Data'!L29,0)</f>
        <v>-9336</v>
      </c>
      <c r="K111" s="12">
        <f>IFERROR('Cash Flow Data'!M29,0)</f>
        <v>-9332</v>
      </c>
      <c r="L111" s="12">
        <f>IFERROR('Cash Flow Data'!N29,0)</f>
        <v>-5814</v>
      </c>
    </row>
    <row r="112" spans="2:12" x14ac:dyDescent="0.3">
      <c r="B112" t="s">
        <v>111</v>
      </c>
      <c r="C112" s="12">
        <f>IFERROR('Cash Flow Data'!E30,0)</f>
        <v>-108</v>
      </c>
      <c r="D112" s="12">
        <f>IFERROR('Cash Flow Data'!F30,0)</f>
        <v>-121</v>
      </c>
      <c r="E112" s="12">
        <f>IFERROR('Cash Flow Data'!G30,0)</f>
        <v>-96</v>
      </c>
      <c r="F112" s="12">
        <f>IFERROR('Cash Flow Data'!H30,0)</f>
        <v>-95</v>
      </c>
      <c r="G112" s="12">
        <f>IFERROR('Cash Flow Data'!I30,0)</f>
        <v>-57</v>
      </c>
      <c r="H112" s="12">
        <f>IFERROR('Cash Flow Data'!J30,0)</f>
        <v>-30</v>
      </c>
      <c r="I112" s="12">
        <f>IFERROR('Cash Flow Data'!K30,0)</f>
        <v>-100</v>
      </c>
      <c r="J112" s="12">
        <f>IFERROR('Cash Flow Data'!L30,0)</f>
        <v>-141</v>
      </c>
      <c r="K112" s="12">
        <f>IFERROR('Cash Flow Data'!M30,0)</f>
        <v>-1059</v>
      </c>
      <c r="L112" s="12">
        <f>IFERROR('Cash Flow Data'!N30,0)</f>
        <v>-2492</v>
      </c>
    </row>
    <row r="113" spans="2:12" x14ac:dyDescent="0.3">
      <c r="B113" t="s">
        <v>112</v>
      </c>
      <c r="C113" s="12">
        <f>IFERROR('Cash Flow Data'!E31,0)</f>
        <v>0</v>
      </c>
      <c r="D113" s="12">
        <f>IFERROR('Cash Flow Data'!F31,0)</f>
        <v>0</v>
      </c>
      <c r="E113" s="12">
        <f>IFERROR('Cash Flow Data'!G31,0)</f>
        <v>0</v>
      </c>
      <c r="F113" s="12">
        <f>IFERROR('Cash Flow Data'!H31,0)</f>
        <v>0</v>
      </c>
      <c r="G113" s="12">
        <f>IFERROR('Cash Flow Data'!I31,0)</f>
        <v>-1346</v>
      </c>
      <c r="H113" s="12">
        <f>IFERROR('Cash Flow Data'!J31,0)</f>
        <v>-1477</v>
      </c>
      <c r="I113" s="12">
        <f>IFERROR('Cash Flow Data'!K31,0)</f>
        <v>-1559</v>
      </c>
      <c r="J113" s="12">
        <f>IFERROR('Cash Flow Data'!L31,0)</f>
        <v>-1517</v>
      </c>
      <c r="K113" s="12">
        <f>IFERROR('Cash Flow Data'!M31,0)</f>
        <v>-1924</v>
      </c>
      <c r="L113" s="12">
        <f>IFERROR('Cash Flow Data'!N31,0)</f>
        <v>-2393</v>
      </c>
    </row>
    <row r="114" spans="2:12" x14ac:dyDescent="0.3">
      <c r="B114" t="s">
        <v>113</v>
      </c>
      <c r="C114" s="12">
        <f>IFERROR('Cash Flow Data'!E32,0)</f>
        <v>0</v>
      </c>
      <c r="D114" s="12">
        <f>IFERROR('Cash Flow Data'!F32,0)</f>
        <v>0</v>
      </c>
      <c r="E114" s="12">
        <f>IFERROR('Cash Flow Data'!G32,0)</f>
        <v>0</v>
      </c>
      <c r="F114" s="12">
        <f>IFERROR('Cash Flow Data'!H32,0)</f>
        <v>0</v>
      </c>
      <c r="G114" s="12">
        <f>IFERROR('Cash Flow Data'!I32,0)</f>
        <v>-29</v>
      </c>
      <c r="H114" s="12">
        <f>IFERROR('Cash Flow Data'!J32,0)</f>
        <v>0</v>
      </c>
      <c r="I114" s="12">
        <f>IFERROR('Cash Flow Data'!K32,0)</f>
        <v>3750</v>
      </c>
      <c r="J114" s="12">
        <f>IFERROR('Cash Flow Data'!L32,0)</f>
        <v>3355</v>
      </c>
      <c r="K114" s="12">
        <f>IFERROR('Cash Flow Data'!M32,0)</f>
        <v>3812</v>
      </c>
      <c r="L114" s="12">
        <f>IFERROR('Cash Flow Data'!N32,0)</f>
        <v>-1136</v>
      </c>
    </row>
    <row r="115" spans="2:12" x14ac:dyDescent="0.3">
      <c r="B115" s="2" t="s">
        <v>120</v>
      </c>
      <c r="C115" s="20">
        <f>SUM(C107:C114)</f>
        <v>-3796</v>
      </c>
      <c r="D115" s="20">
        <f t="shared" ref="D115:L115" si="28">SUM(D107:D114)</f>
        <v>6206</v>
      </c>
      <c r="E115" s="20">
        <f t="shared" si="28"/>
        <v>2011</v>
      </c>
      <c r="F115" s="20">
        <f t="shared" si="28"/>
        <v>8830</v>
      </c>
      <c r="G115" s="20">
        <f t="shared" si="28"/>
        <v>3389</v>
      </c>
      <c r="H115" s="20">
        <f t="shared" si="28"/>
        <v>9905</v>
      </c>
      <c r="I115" s="20">
        <f t="shared" si="28"/>
        <v>-3379</v>
      </c>
      <c r="J115" s="20">
        <f t="shared" si="28"/>
        <v>-26242</v>
      </c>
      <c r="K115" s="20">
        <f t="shared" si="28"/>
        <v>-37006</v>
      </c>
      <c r="L115" s="20">
        <f t="shared" si="28"/>
        <v>-18786</v>
      </c>
    </row>
    <row r="117" spans="2:12" x14ac:dyDescent="0.3">
      <c r="B117" s="2" t="s">
        <v>121</v>
      </c>
      <c r="C117" s="20">
        <f>IFERROR(SUM(C90,C104,C115),0)</f>
        <v>-1278</v>
      </c>
      <c r="D117" s="20">
        <f t="shared" ref="D117:L117" si="29">IFERROR(SUM(D90,D104,D115),0)</f>
        <v>88</v>
      </c>
      <c r="E117" s="20">
        <f t="shared" si="29"/>
        <v>-5706</v>
      </c>
      <c r="F117" s="20">
        <f t="shared" si="29"/>
        <v>-378</v>
      </c>
      <c r="G117" s="20">
        <f t="shared" si="29"/>
        <v>1971</v>
      </c>
      <c r="H117" s="20">
        <f t="shared" si="29"/>
        <v>13141</v>
      </c>
      <c r="I117" s="20">
        <f t="shared" si="29"/>
        <v>-4289</v>
      </c>
      <c r="J117" s="20">
        <f t="shared" si="29"/>
        <v>-9400</v>
      </c>
      <c r="K117" s="20">
        <f t="shared" si="29"/>
        <v>15453</v>
      </c>
      <c r="L117" s="20">
        <f t="shared" si="29"/>
        <v>2490</v>
      </c>
    </row>
  </sheetData>
  <mergeCells count="1">
    <mergeCell ref="B2:L2"/>
  </mergeCells>
  <pageMargins left="0.7" right="0.7" top="0.75" bottom="0.75" header="0.3" footer="0.3"/>
  <ignoredErrors>
    <ignoredError sqref="C15:L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D742-945E-42CA-90D0-F816C02A71F6}">
  <dimension ref="B2:O41"/>
  <sheetViews>
    <sheetView showGridLines="0" zoomScaleNormal="100"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C53" sqref="C53"/>
    </sheetView>
  </sheetViews>
  <sheetFormatPr defaultRowHeight="14.4" x14ac:dyDescent="0.3"/>
  <cols>
    <col min="1" max="1" width="1.88671875" customWidth="1"/>
    <col min="2" max="2" width="35.77734375" customWidth="1"/>
    <col min="3" max="12" width="9.77734375" customWidth="1"/>
    <col min="13" max="13" width="10.77734375" customWidth="1"/>
    <col min="14" max="15" width="9.77734375" customWidth="1"/>
  </cols>
  <sheetData>
    <row r="2" spans="2:15" x14ac:dyDescent="0.3">
      <c r="B2" s="47" t="str">
        <f>"Ratio Analysis - "&amp;'Data Sheet'!B1</f>
        <v>Ratio Analysis - TATA MOTORS LTD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2:15" x14ac:dyDescent="0.3">
      <c r="B3" s="10" t="s">
        <v>55</v>
      </c>
      <c r="C3" s="11">
        <f>'Data Sheet'!B16</f>
        <v>42460</v>
      </c>
      <c r="D3" s="11">
        <f>'Data Sheet'!C16</f>
        <v>42825</v>
      </c>
      <c r="E3" s="11">
        <f>'Data Sheet'!D16</f>
        <v>43190</v>
      </c>
      <c r="F3" s="11">
        <f>'Data Sheet'!E16</f>
        <v>43555</v>
      </c>
      <c r="G3" s="11">
        <f>'Data Sheet'!F16</f>
        <v>43921</v>
      </c>
      <c r="H3" s="11">
        <f>'Data Sheet'!G16</f>
        <v>44286</v>
      </c>
      <c r="I3" s="11">
        <f>'Data Sheet'!H16</f>
        <v>44651</v>
      </c>
      <c r="J3" s="11">
        <f>'Data Sheet'!I16</f>
        <v>45016</v>
      </c>
      <c r="K3" s="11">
        <f>'Data Sheet'!J16</f>
        <v>45382</v>
      </c>
      <c r="L3" s="11">
        <f>'Data Sheet'!K16</f>
        <v>45747</v>
      </c>
      <c r="M3" s="43" t="s">
        <v>161</v>
      </c>
      <c r="N3" s="43" t="s">
        <v>159</v>
      </c>
      <c r="O3" s="43" t="s">
        <v>160</v>
      </c>
    </row>
    <row r="4" spans="2:15" x14ac:dyDescent="0.3">
      <c r="N4" s="19"/>
    </row>
    <row r="5" spans="2:15" x14ac:dyDescent="0.3">
      <c r="B5" s="30" t="s">
        <v>123</v>
      </c>
      <c r="C5" s="31"/>
      <c r="D5" s="31">
        <f>IFERROR(HistoricalFS!D7,0)</f>
        <v>-1.2280329732469508E-2</v>
      </c>
      <c r="E5" s="31">
        <f>IFERROR(HistoricalFS!E7,0)</f>
        <v>8.104774581985974E-2</v>
      </c>
      <c r="F5" s="31">
        <f>IFERROR(HistoricalFS!F7,0)</f>
        <v>3.5629919045237157E-2</v>
      </c>
      <c r="G5" s="31">
        <f>IFERROR(HistoricalFS!G7,0)</f>
        <v>-0.135360159555724</v>
      </c>
      <c r="H5" s="31">
        <f>IFERROR(HistoricalFS!H7,0)</f>
        <v>-4.3181168490336042E-2</v>
      </c>
      <c r="I5" s="31">
        <f>IFERROR(HistoricalFS!I7,0)</f>
        <v>0.11472967306158344</v>
      </c>
      <c r="J5" s="31">
        <f>IFERROR(HistoricalFS!J7,0)</f>
        <v>0.24245815155859707</v>
      </c>
      <c r="K5" s="31">
        <f>IFERROR(HistoricalFS!K7,0)</f>
        <v>0.25450126062612277</v>
      </c>
      <c r="L5" s="31">
        <f>IFERROR(HistoricalFS!L7,0)</f>
        <v>1.3084771068347711E-2</v>
      </c>
      <c r="N5" s="19">
        <f>IFERROR(AVERAGE(D5:L5),0)</f>
        <v>6.1181095933468703E-2</v>
      </c>
      <c r="O5" s="19">
        <f>IFERROR(MEDIAN(D5:L5),0)</f>
        <v>3.5629919045237157E-2</v>
      </c>
    </row>
    <row r="6" spans="2:15" x14ac:dyDescent="0.3">
      <c r="B6" t="s">
        <v>125</v>
      </c>
      <c r="C6" s="32"/>
      <c r="D6" s="32">
        <f>IFERROR(HistoricalFS!D18/HistoricalFS!C18-1,0)</f>
        <v>-0.22936587208052905</v>
      </c>
      <c r="E6" s="32">
        <f>IFERROR(HistoricalFS!E18/HistoricalFS!D18-1,0)</f>
        <v>6.3165689322506102E-2</v>
      </c>
      <c r="F6" s="32">
        <f>IFERROR(HistoricalFS!F18/HistoricalFS!E18-1,0)</f>
        <v>-0.21595203460649259</v>
      </c>
      <c r="G6" s="32">
        <f>IFERROR(HistoricalFS!G18/HistoricalFS!F18-1,0)</f>
        <v>-0.27072537547138131</v>
      </c>
      <c r="H6" s="32">
        <f>IFERROR(HistoricalFS!H18/HistoricalFS!G18-1,0)</f>
        <v>0.79503554497758966</v>
      </c>
      <c r="I6" s="32">
        <f>IFERROR(HistoricalFS!I18/HistoricalFS!H18-1,0)</f>
        <v>-0.234374182150762</v>
      </c>
      <c r="J6" s="32">
        <f>IFERROR(HistoricalFS!J18/HistoricalFS!I18-1,0)</f>
        <v>0.28704223973294352</v>
      </c>
      <c r="K6" s="32">
        <f>IFERROR(HistoricalFS!K18/HistoricalFS!J18-1,0)</f>
        <v>0.81746176428064277</v>
      </c>
      <c r="L6" s="32">
        <f>IFERROR(HistoricalFS!L18/HistoricalFS!K18-1,0)</f>
        <v>-4.510237963475372E-2</v>
      </c>
      <c r="N6" s="19">
        <f t="shared" ref="N6:N10" si="0">IFERROR(AVERAGE(D6:L6),0)</f>
        <v>0.1074650438188626</v>
      </c>
      <c r="O6" s="19">
        <f t="shared" ref="O6:O10" si="1">IFERROR(MEDIAN(D6:L6),0)</f>
        <v>-4.510237963475372E-2</v>
      </c>
    </row>
    <row r="7" spans="2:15" x14ac:dyDescent="0.3">
      <c r="B7" t="s">
        <v>126</v>
      </c>
      <c r="C7" s="32"/>
      <c r="D7" s="32">
        <f>IFERROR(HistoricalFS!D27/HistoricalFS!C27-1,0)</f>
        <v>-0.46119503958362551</v>
      </c>
      <c r="E7" s="32">
        <f>IFERROR(HistoricalFS!E27/HistoricalFS!D27-1,0)</f>
        <v>-0.15231561919597769</v>
      </c>
      <c r="F7" s="32">
        <f>IFERROR(HistoricalFS!F27/HistoricalFS!E27-1,0)</f>
        <v>-0.89159024201112635</v>
      </c>
      <c r="G7" s="32">
        <f>IFERROR(HistoricalFS!G27/HistoricalFS!F27-1,0)</f>
        <v>-4.2023470243084331</v>
      </c>
      <c r="H7" s="32">
        <f>IFERROR(HistoricalFS!H27/HistoricalFS!G27-1,0)</f>
        <v>-3.5421189171581497</v>
      </c>
      <c r="I7" s="32">
        <f>IFERROR(HistoricalFS!I27/HistoricalFS!H27-1,0)</f>
        <v>-1.0132254551112476</v>
      </c>
      <c r="J7" s="32">
        <f>IFERROR(HistoricalFS!J27/HistoricalFS!I27-1,0)</f>
        <v>-61.168166089973369</v>
      </c>
      <c r="K7" s="32">
        <f>IFERROR(HistoricalFS!K27/HistoricalFS!J27-1,0)</f>
        <v>3.3972775266554214</v>
      </c>
      <c r="L7" s="32">
        <f>IFERROR(HistoricalFS!L27/HistoricalFS!K27-1,0)</f>
        <v>4.4956678110184667E-2</v>
      </c>
      <c r="N7" s="19">
        <f t="shared" si="0"/>
        <v>-7.5543026869529264</v>
      </c>
      <c r="O7" s="19">
        <f t="shared" si="1"/>
        <v>-0.89159024201112635</v>
      </c>
    </row>
    <row r="8" spans="2:15" x14ac:dyDescent="0.3">
      <c r="B8" t="s">
        <v>151</v>
      </c>
      <c r="C8" s="32"/>
      <c r="D8" s="32">
        <f>IFERROR(HistoricalFS!D30/HistoricalFS!C30-1,0)</f>
        <v>-0.55668251823863213</v>
      </c>
      <c r="E8" s="32">
        <f>IFERROR(HistoricalFS!E30/HistoricalFS!D30-1,0)</f>
        <v>-0.29861436616351744</v>
      </c>
      <c r="F8" s="32">
        <f>IFERROR(HistoricalFS!F30/HistoricalFS!E30-1,0)</f>
        <v>-1.897095149646705</v>
      </c>
      <c r="G8" s="32">
        <f>IFERROR(HistoricalFS!G30/HistoricalFS!F30-1,0)</f>
        <v>1.2800251873039095</v>
      </c>
      <c r="H8" s="32">
        <f>IFERROR(HistoricalFS!H30/HistoricalFS!G30-1,0)</f>
        <v>-1.0602479570180365</v>
      </c>
      <c r="I8" s="32">
        <f>IFERROR(HistoricalFS!I30/HistoricalFS!H30-1,0)</f>
        <v>-15.64914925025267</v>
      </c>
      <c r="J8" s="32">
        <f>IFERROR(HistoricalFS!J30/HistoricalFS!I30-1,0)</f>
        <v>-0.65313668793078505</v>
      </c>
      <c r="K8" s="32">
        <f>IFERROR(HistoricalFS!K30/HistoricalFS!J30-1,0)</f>
        <v>-8.0308008464727472</v>
      </c>
      <c r="L8" s="32">
        <f>IFERROR(HistoricalFS!L30/HistoricalFS!K30-1,0)</f>
        <v>0.16902266104127706</v>
      </c>
      <c r="N8" s="19">
        <f t="shared" si="0"/>
        <v>-2.9662976585975454</v>
      </c>
      <c r="O8" s="19">
        <f t="shared" si="1"/>
        <v>-0.65313668793078505</v>
      </c>
    </row>
    <row r="9" spans="2:15" x14ac:dyDescent="0.3">
      <c r="B9" t="s">
        <v>150</v>
      </c>
      <c r="C9" s="32"/>
      <c r="D9" s="32">
        <f>IFERROR(HistoricalFS!D36/HistoricalFS!C36-1,0)</f>
        <v>-0.69539895165986787</v>
      </c>
      <c r="E9" s="32">
        <f>IFERROR(HistoricalFS!E36/HistoricalFS!D36-1,0)</f>
        <v>-0.79011124197155724</v>
      </c>
      <c r="F9" s="32">
        <f>IFERROR(HistoricalFS!F36/HistoricalFS!E36-1,0)</f>
        <v>-3.5528470983790919</v>
      </c>
      <c r="G9" s="32">
        <f>IFERROR(HistoricalFS!G36/HistoricalFS!F36-1,0)</f>
        <v>3.9286702707513577</v>
      </c>
      <c r="H9" s="32">
        <f>IFERROR(HistoricalFS!H36/HistoricalFS!G36-1,0)</f>
        <v>-0.82862505348950144</v>
      </c>
      <c r="I9" s="32">
        <f>IFERROR(HistoricalFS!I36/HistoricalFS!H36-1,0)</f>
        <v>6.1952157445306248</v>
      </c>
      <c r="J9" s="32">
        <f>IFERROR(HistoricalFS!J36/HistoricalFS!I36-1,0)</f>
        <v>-0.7090436533357708</v>
      </c>
      <c r="K9" s="32">
        <f>IFERROR(HistoricalFS!K36/HistoricalFS!J36-1,0)</f>
        <v>-7.7977655318184613</v>
      </c>
      <c r="L9" s="32">
        <f>IFERROR(HistoricalFS!L36/HistoricalFS!K36-1,0)</f>
        <v>-0.39385526559318895</v>
      </c>
      <c r="N9" s="19">
        <f t="shared" si="0"/>
        <v>-0.51597342010727287</v>
      </c>
      <c r="O9" s="19">
        <f t="shared" si="1"/>
        <v>-0.7090436533357708</v>
      </c>
    </row>
    <row r="10" spans="2:15" x14ac:dyDescent="0.3">
      <c r="B10" s="33" t="s">
        <v>127</v>
      </c>
      <c r="C10" s="34"/>
      <c r="D10" s="34">
        <f>IFERROR(HistoricalFS!D44/HistoricalFS!C44-1,0)</f>
        <v>-1</v>
      </c>
      <c r="E10" s="34">
        <f>IFERROR(HistoricalFS!E44/HistoricalFS!D44-1,0)</f>
        <v>0</v>
      </c>
      <c r="F10" s="34">
        <f>IFERROR(HistoricalFS!F44/HistoricalFS!E44-1,0)</f>
        <v>0</v>
      </c>
      <c r="G10" s="34">
        <f>IFERROR(HistoricalFS!G44/HistoricalFS!F44-1,0)</f>
        <v>0</v>
      </c>
      <c r="H10" s="34">
        <f>IFERROR(HistoricalFS!H44/HistoricalFS!G44-1,0)</f>
        <v>0</v>
      </c>
      <c r="I10" s="34">
        <f>IFERROR(HistoricalFS!I44/HistoricalFS!H44-1,0)</f>
        <v>0</v>
      </c>
      <c r="J10" s="34">
        <f>IFERROR(HistoricalFS!J44/HistoricalFS!I44-1,0)</f>
        <v>0</v>
      </c>
      <c r="K10" s="34">
        <f>IFERROR(HistoricalFS!K44/HistoricalFS!J44-1,0)</f>
        <v>2.0016689880185949</v>
      </c>
      <c r="L10" s="34">
        <f>IFERROR(HistoricalFS!L44/HistoricalFS!K44-1,0)</f>
        <v>-0.1336306958339889</v>
      </c>
      <c r="N10" s="19">
        <f t="shared" si="0"/>
        <v>9.6448699131622892E-2</v>
      </c>
      <c r="O10" s="19">
        <f t="shared" si="1"/>
        <v>0</v>
      </c>
    </row>
    <row r="11" spans="2:15" x14ac:dyDescent="0.3">
      <c r="N11" s="19"/>
    </row>
    <row r="12" spans="2:15" x14ac:dyDescent="0.3">
      <c r="B12" s="30" t="s">
        <v>124</v>
      </c>
      <c r="C12" s="31">
        <f>IFERROR(HistoricalFS!C13,0)</f>
        <v>0.24734524196690946</v>
      </c>
      <c r="D12" s="31">
        <f>IFERROR(HistoricalFS!D13,0)</f>
        <v>0.23819078253229964</v>
      </c>
      <c r="E12" s="31">
        <f>IFERROR(HistoricalFS!E13,0)</f>
        <v>0.21649990080619999</v>
      </c>
      <c r="F12" s="31">
        <f>IFERROR(HistoricalFS!F13,0)</f>
        <v>0.19571167496416494</v>
      </c>
      <c r="G12" s="31">
        <f>IFERROR(HistoricalFS!G13,0)</f>
        <v>0.19417127271491774</v>
      </c>
      <c r="H12" s="31">
        <f>IFERROR(HistoricalFS!H13,0)</f>
        <v>0.2180538622208833</v>
      </c>
      <c r="I12" s="31">
        <f>IFERROR(HistoricalFS!I13,0)</f>
        <v>0.19807108271747378</v>
      </c>
      <c r="J12" s="31">
        <f>IFERROR(HistoricalFS!J13,0)</f>
        <v>0.20685017994636876</v>
      </c>
      <c r="K12" s="31">
        <f>IFERROR(HistoricalFS!K13,0)</f>
        <v>0.22956757354567572</v>
      </c>
      <c r="L12" s="31">
        <f>IFERROR(HistoricalFS!L13,0)</f>
        <v>0.22489680346603896</v>
      </c>
      <c r="N12" s="19">
        <f>IFERROR(AVERAGE(C12:L12),0)</f>
        <v>0.2169358374880932</v>
      </c>
      <c r="O12" s="19">
        <f>IFERROR(MEDIAN(C12:L12),0)</f>
        <v>0.21727688151354163</v>
      </c>
    </row>
    <row r="13" spans="2:15" x14ac:dyDescent="0.3">
      <c r="B13" t="s">
        <v>128</v>
      </c>
      <c r="C13" s="32">
        <f>IFERROR(HistoricalFS!C19,0)</f>
        <v>0.14061845347443788</v>
      </c>
      <c r="D13" s="32">
        <f>IFERROR(HistoricalFS!D19,0)</f>
        <v>0.10971268723777329</v>
      </c>
      <c r="E13" s="32">
        <f>IFERROR(HistoricalFS!E19,0)</f>
        <v>0.10789788444182975</v>
      </c>
      <c r="F13" s="32">
        <f>IFERROR(HistoricalFS!F19,0)</f>
        <v>8.1686628795807431E-2</v>
      </c>
      <c r="G13" s="32">
        <f>IFERROR(HistoricalFS!G19,0)</f>
        <v>6.8898034485042198E-2</v>
      </c>
      <c r="H13" s="32">
        <f>IFERROR(HistoricalFS!H19,0)</f>
        <v>0.12925583904385496</v>
      </c>
      <c r="I13" s="32">
        <f>IFERROR(HistoricalFS!I19,0)</f>
        <v>8.877632835227646E-2</v>
      </c>
      <c r="J13" s="32">
        <f>IFERROR(HistoricalFS!J19,0)</f>
        <v>9.1961958102532049E-2</v>
      </c>
      <c r="K13" s="32">
        <f>IFERROR(HistoricalFS!K19,0)</f>
        <v>0.13323011133230112</v>
      </c>
      <c r="L13" s="32">
        <f>IFERROR(HistoricalFS!L19,0)</f>
        <v>0.12557795744777631</v>
      </c>
      <c r="N13" s="19">
        <f t="shared" ref="N13:N41" si="2">IFERROR(AVERAGE(C13:L13),0)</f>
        <v>0.10776158827136313</v>
      </c>
      <c r="O13" s="19">
        <f t="shared" ref="O13:O41" si="3">IFERROR(MEDIAN(C13:L13),0)</f>
        <v>0.10880528583980152</v>
      </c>
    </row>
    <row r="14" spans="2:15" x14ac:dyDescent="0.3">
      <c r="B14" t="s">
        <v>129</v>
      </c>
      <c r="C14" s="32">
        <f>IFERROR(HistoricalFS!C28,0)</f>
        <v>7.941702777851016E-2</v>
      </c>
      <c r="D14" s="32">
        <f>IFERROR(HistoricalFS!D28,0)</f>
        <v>4.3322300645279484E-2</v>
      </c>
      <c r="E14" s="32">
        <f>IFERROR(HistoricalFS!E28,0)</f>
        <v>3.3970412259310953E-2</v>
      </c>
      <c r="F14" s="32">
        <f>IFERROR(HistoricalFS!F28,0)</f>
        <v>3.5560233478087663E-3</v>
      </c>
      <c r="G14" s="32">
        <f>IFERROR(HistoricalFS!G28,0)</f>
        <v>-1.3170363258273456E-2</v>
      </c>
      <c r="H14" s="32">
        <f>IFERROR(HistoricalFS!H28,0)</f>
        <v>3.4991608110258483E-2</v>
      </c>
      <c r="I14" s="32">
        <f>IFERROR(HistoricalFS!I28,0)</f>
        <v>-4.1514992694289269E-4</v>
      </c>
      <c r="J14" s="32">
        <f>IFERROR(HistoricalFS!J28,0)</f>
        <v>2.0104346955433228E-2</v>
      </c>
      <c r="K14" s="32">
        <f>IFERROR(HistoricalFS!K28,0)</f>
        <v>7.0469752267197525E-2</v>
      </c>
      <c r="L14" s="32">
        <f>IFERROR(HistoricalFS!L28,0)</f>
        <v>7.2686748769033083E-2</v>
      </c>
      <c r="N14" s="19">
        <f t="shared" si="2"/>
        <v>3.4493270694761533E-2</v>
      </c>
      <c r="O14" s="19">
        <f t="shared" si="3"/>
        <v>3.4481010184784722E-2</v>
      </c>
    </row>
    <row r="15" spans="2:15" x14ac:dyDescent="0.3">
      <c r="B15" t="s">
        <v>153</v>
      </c>
      <c r="C15" s="32">
        <f>IFERROR(HistoricalFS!C31,0)</f>
        <v>6.1511300676516931E-2</v>
      </c>
      <c r="D15" s="32">
        <f>IFERROR(HistoricalFS!D31,0)</f>
        <v>2.7608071132565179E-2</v>
      </c>
      <c r="E15" s="32">
        <f>IFERROR(HistoricalFS!E31,0)</f>
        <v>1.7912163958707913E-2</v>
      </c>
      <c r="F15" s="32">
        <f>IFERROR(HistoricalFS!F31,0)</f>
        <v>-1.5516078776333117E-2</v>
      </c>
      <c r="G15" s="32">
        <f>IFERROR(HistoricalFS!G31,0)</f>
        <v>-4.0915360088026265E-2</v>
      </c>
      <c r="H15" s="32">
        <f>IFERROR(HistoricalFS!H31,0)</f>
        <v>2.5763151547420113E-3</v>
      </c>
      <c r="I15" s="32">
        <f>IFERROR(HistoricalFS!I31,0)</f>
        <v>-3.3856482095653805E-2</v>
      </c>
      <c r="J15" s="32">
        <f>IFERROR(HistoricalFS!J31,0)</f>
        <v>-9.4518849588445895E-3</v>
      </c>
      <c r="K15" s="32">
        <f>IFERROR(HistoricalFS!K31,0)</f>
        <v>5.2972701467227018E-2</v>
      </c>
      <c r="L15" s="32">
        <f>IFERROR(HistoricalFS!L31,0)</f>
        <v>6.1126462661617711E-2</v>
      </c>
      <c r="N15" s="19">
        <f t="shared" si="2"/>
        <v>1.2396720913251899E-2</v>
      </c>
      <c r="O15" s="19">
        <f t="shared" si="3"/>
        <v>1.0244239556724962E-2</v>
      </c>
    </row>
    <row r="16" spans="2:15" x14ac:dyDescent="0.3">
      <c r="B16" s="33" t="s">
        <v>130</v>
      </c>
      <c r="C16" s="34">
        <f>IFERROR(HistoricalFS!C37,0)</f>
        <v>5.0432381990407359E-2</v>
      </c>
      <c r="D16" s="34">
        <f>IFERROR(HistoricalFS!D37,0)</f>
        <v>1.5552749314395296E-2</v>
      </c>
      <c r="E16" s="34">
        <f>IFERROR(HistoricalFS!E37,0)</f>
        <v>3.01961430487095E-3</v>
      </c>
      <c r="F16" s="34">
        <f>IFERROR(HistoricalFS!F37,0)</f>
        <v>-7.4434056747998256E-3</v>
      </c>
      <c r="G16" s="34">
        <f>IFERROR(HistoricalFS!G37,0)</f>
        <v>-4.2429333632923408E-2</v>
      </c>
      <c r="H16" s="34">
        <f>IFERROR(HistoricalFS!H37,0)</f>
        <v>-7.5994791724005731E-3</v>
      </c>
      <c r="I16" s="34">
        <f>IFERROR(HistoricalFS!I37,0)</f>
        <v>-4.9052154538339235E-2</v>
      </c>
      <c r="J16" s="34">
        <f>IFERROR(HistoricalFS!J37,0)</f>
        <v>-1.1486934720964945E-2</v>
      </c>
      <c r="K16" s="34">
        <f>IFERROR(HistoricalFS!K37,0)</f>
        <v>6.224424905994249E-2</v>
      </c>
      <c r="L16" s="34">
        <f>IFERROR(HistoricalFS!L37,0)</f>
        <v>3.724172437712505E-2</v>
      </c>
      <c r="N16" s="19">
        <f t="shared" si="2"/>
        <v>5.0479411307313166E-3</v>
      </c>
      <c r="O16" s="19">
        <f t="shared" si="3"/>
        <v>-2.2118956849644378E-3</v>
      </c>
    </row>
    <row r="17" spans="2:15" x14ac:dyDescent="0.3">
      <c r="N17" s="19"/>
      <c r="O17" s="19"/>
    </row>
    <row r="18" spans="2:15" x14ac:dyDescent="0.3">
      <c r="B18" s="30" t="s">
        <v>131</v>
      </c>
      <c r="C18" s="35">
        <f>IFERROR(HistoricalFS!C16,0)</f>
        <v>0.10672678849247161</v>
      </c>
      <c r="D18" s="35">
        <f>IFERROR(HistoricalFS!D16,0)</f>
        <v>0.12847809529452636</v>
      </c>
      <c r="E18" s="35">
        <f>IFERROR(HistoricalFS!E16,0)</f>
        <v>0.10860201636437025</v>
      </c>
      <c r="F18" s="35">
        <f>IFERROR(HistoricalFS!F16,0)</f>
        <v>0.11402504616835751</v>
      </c>
      <c r="G18" s="35">
        <f>IFERROR(HistoricalFS!G16,0)</f>
        <v>0.12527323822987554</v>
      </c>
      <c r="H18" s="35">
        <f>IFERROR(HistoricalFS!H16,0)</f>
        <v>8.8798023177028354E-2</v>
      </c>
      <c r="I18" s="35">
        <f>IFERROR(HistoricalFS!I16,0)</f>
        <v>0.10929475436519734</v>
      </c>
      <c r="J18" s="35">
        <f>IFERROR(HistoricalFS!J16,0)</f>
        <v>0.11488822184383672</v>
      </c>
      <c r="K18" s="35">
        <f>IFERROR(HistoricalFS!K16,0)</f>
        <v>9.6337462213374622E-2</v>
      </c>
      <c r="L18" s="35">
        <f>IFERROR(HistoricalFS!L16,0)</f>
        <v>9.9318846018262658E-2</v>
      </c>
      <c r="N18" s="19">
        <f t="shared" si="2"/>
        <v>0.10917424921673009</v>
      </c>
      <c r="O18" s="19">
        <f t="shared" si="3"/>
        <v>0.1089483853647838</v>
      </c>
    </row>
    <row r="19" spans="2:15" x14ac:dyDescent="0.3">
      <c r="B19" t="s">
        <v>132</v>
      </c>
      <c r="C19" s="36">
        <f>IFERROR(HistoricalFS!C25,0)</f>
        <v>6.1201425695927715E-2</v>
      </c>
      <c r="D19" s="36">
        <f>IFERROR(HistoricalFS!D25,0)</f>
        <v>6.63903865924938E-2</v>
      </c>
      <c r="E19" s="36">
        <f>IFERROR(HistoricalFS!E25,0)</f>
        <v>7.3927472182518786E-2</v>
      </c>
      <c r="F19" s="36">
        <f>IFERROR(HistoricalFS!F25,0)</f>
        <v>7.8130605447998658E-2</v>
      </c>
      <c r="G19" s="36">
        <f>IFERROR(HistoricalFS!G25,0)</f>
        <v>8.206839774331566E-2</v>
      </c>
      <c r="H19" s="36">
        <f>IFERROR(HistoricalFS!H25,0)</f>
        <v>9.4264230933596482E-2</v>
      </c>
      <c r="I19" s="36">
        <f>IFERROR(HistoricalFS!I25,0)</f>
        <v>8.9191478279219347E-2</v>
      </c>
      <c r="J19" s="36">
        <f>IFERROR(HistoricalFS!J25,0)</f>
        <v>7.1857611147098821E-2</v>
      </c>
      <c r="K19" s="36">
        <f>IFERROR(HistoricalFS!K25,0)</f>
        <v>6.2760359065103591E-2</v>
      </c>
      <c r="L19" s="36">
        <f>IFERROR(HistoricalFS!L25,0)</f>
        <v>5.2891208678743216E-2</v>
      </c>
      <c r="N19" s="19">
        <f t="shared" si="2"/>
        <v>7.3268317576601599E-2</v>
      </c>
      <c r="O19" s="19">
        <f t="shared" si="3"/>
        <v>7.2892541664808796E-2</v>
      </c>
    </row>
    <row r="20" spans="2:15" x14ac:dyDescent="0.3">
      <c r="B20" s="33" t="s">
        <v>133</v>
      </c>
      <c r="C20" s="37">
        <f>C14</f>
        <v>7.941702777851016E-2</v>
      </c>
      <c r="D20" s="37">
        <f t="shared" ref="D20:L20" si="4">D14</f>
        <v>4.3322300645279484E-2</v>
      </c>
      <c r="E20" s="37">
        <f t="shared" si="4"/>
        <v>3.3970412259310953E-2</v>
      </c>
      <c r="F20" s="37">
        <f t="shared" si="4"/>
        <v>3.5560233478087663E-3</v>
      </c>
      <c r="G20" s="37">
        <f t="shared" si="4"/>
        <v>-1.3170363258273456E-2</v>
      </c>
      <c r="H20" s="37">
        <f t="shared" si="4"/>
        <v>3.4991608110258483E-2</v>
      </c>
      <c r="I20" s="37">
        <f t="shared" si="4"/>
        <v>-4.1514992694289269E-4</v>
      </c>
      <c r="J20" s="37">
        <f t="shared" si="4"/>
        <v>2.0104346955433228E-2</v>
      </c>
      <c r="K20" s="37">
        <f t="shared" si="4"/>
        <v>7.0469752267197525E-2</v>
      </c>
      <c r="L20" s="37">
        <f t="shared" si="4"/>
        <v>7.2686748769033083E-2</v>
      </c>
      <c r="N20" s="19">
        <f t="shared" si="2"/>
        <v>3.4493270694761533E-2</v>
      </c>
      <c r="O20" s="19">
        <f t="shared" si="3"/>
        <v>3.4481010184784722E-2</v>
      </c>
    </row>
    <row r="21" spans="2:15" x14ac:dyDescent="0.3">
      <c r="N21" s="19"/>
      <c r="O21" s="19"/>
    </row>
    <row r="22" spans="2:15" x14ac:dyDescent="0.3">
      <c r="B22" s="30" t="s">
        <v>134</v>
      </c>
      <c r="C22" s="31">
        <f>IFERROR(HistoricalFS!C27/SUM(HistoricalFS!C50:C52),0)</f>
        <v>0.1462081011853561</v>
      </c>
      <c r="D22" s="31">
        <f>IFERROR(HistoricalFS!D27/SUM(HistoricalFS!D50:D52),0)</f>
        <v>8.5490986154773282E-2</v>
      </c>
      <c r="E22" s="31">
        <f>IFERROR(HistoricalFS!E27/SUM(HistoricalFS!E50:E52),0)</f>
        <v>5.3716113570365424E-2</v>
      </c>
      <c r="F22" s="31">
        <f>IFERROR(HistoricalFS!F27/SUM(HistoricalFS!F50:F52),0)</f>
        <v>6.4542733637543747E-3</v>
      </c>
      <c r="G22" s="31">
        <f>IFERROR(HistoricalFS!G27/SUM(HistoricalFS!G50:G52),0)</f>
        <v>-1.8302177555437667E-2</v>
      </c>
      <c r="H22" s="31">
        <f>IFERROR(HistoricalFS!H27/SUM(HistoricalFS!H50:H52),0)</f>
        <v>4.4284324706251613E-2</v>
      </c>
      <c r="I22" s="31">
        <f>IFERROR(HistoricalFS!I27/SUM(HistoricalFS!I50:I52),0)</f>
        <v>-6.0520306054739361E-4</v>
      </c>
      <c r="J22" s="31">
        <f>IFERROR(HistoricalFS!J27/SUM(HistoricalFS!J50:J52),0)</f>
        <v>3.8762956416083731E-2</v>
      </c>
      <c r="K22" s="31">
        <f>IFERROR(HistoricalFS!K27/SUM(HistoricalFS!K50:K52),0)</f>
        <v>0.15914601783725843</v>
      </c>
      <c r="L22" s="31">
        <f>IFERROR(HistoricalFS!L27/SUM(HistoricalFS!L50:L52),0)</f>
        <v>0.17028622578376421</v>
      </c>
      <c r="N22" s="19">
        <f t="shared" si="2"/>
        <v>6.854416184016221E-2</v>
      </c>
      <c r="O22" s="19">
        <f t="shared" si="3"/>
        <v>4.9000219138308515E-2</v>
      </c>
    </row>
    <row r="23" spans="2:15" x14ac:dyDescent="0.3">
      <c r="B23" t="s">
        <v>135</v>
      </c>
      <c r="C23" s="32">
        <f>IFERROR(HistoricalFS!C47,0)</f>
        <v>0.99506765991253665</v>
      </c>
      <c r="D23" s="32">
        <f>IFERROR(HistoricalFS!D47,0)</f>
        <v>1</v>
      </c>
      <c r="E23" s="32">
        <f>IFERROR(HistoricalFS!E47,0)</f>
        <v>1</v>
      </c>
      <c r="F23" s="32">
        <f>IFERROR(HistoricalFS!F47,0)</f>
        <v>0</v>
      </c>
      <c r="G23" s="32">
        <f>IFERROR(HistoricalFS!G47,0)</f>
        <v>0</v>
      </c>
      <c r="H23" s="32">
        <f>IFERROR(HistoricalFS!H47,0)</f>
        <v>0</v>
      </c>
      <c r="I23" s="32">
        <f>IFERROR(HistoricalFS!I47,0)</f>
        <v>0</v>
      </c>
      <c r="J23" s="32">
        <f>IFERROR(HistoricalFS!J47,0)</f>
        <v>0</v>
      </c>
      <c r="K23" s="32">
        <f>IFERROR(HistoricalFS!K47,0)</f>
        <v>0.9148250971682399</v>
      </c>
      <c r="L23" s="32">
        <f>IFERROR(HistoricalFS!L47,0)</f>
        <v>0.8651603053435114</v>
      </c>
      <c r="N23" s="19">
        <f t="shared" si="2"/>
        <v>0.47750530624242887</v>
      </c>
      <c r="O23" s="19">
        <f t="shared" si="3"/>
        <v>0.4325801526717557</v>
      </c>
    </row>
    <row r="24" spans="2:15" x14ac:dyDescent="0.3">
      <c r="B24" t="s">
        <v>136</v>
      </c>
      <c r="C24" s="32">
        <f>IFERROR(HistoricalFS!C36/SUM(HistoricalFS!C50:C51),0)</f>
        <v>0.17441316864171685</v>
      </c>
      <c r="D24" s="32">
        <f>IFERROR(HistoricalFS!D36/SUM(HistoricalFS!D50:D51),0)</f>
        <v>7.2241189530689517E-2</v>
      </c>
      <c r="E24" s="32">
        <f>IFERROR(HistoricalFS!E36/SUM(HistoricalFS!E50:E51),0)</f>
        <v>9.2254980749341738E-3</v>
      </c>
      <c r="F24" s="32">
        <f>IFERROR(HistoricalFS!F36/SUM(HistoricalFS!F50:F51),0)</f>
        <v>-3.7345736658758885E-2</v>
      </c>
      <c r="G24" s="32">
        <f>IFERROR(HistoricalFS!G36/SUM(HistoricalFS!G50:G51),0)</f>
        <v>-0.17560555073176307</v>
      </c>
      <c r="H24" s="32">
        <f>IFERROR(HistoricalFS!H36/SUM(HistoricalFS!H50:H51),0)</f>
        <v>-3.4360591904822733E-2</v>
      </c>
      <c r="I24" s="32">
        <f>IFERROR(HistoricalFS!I36/SUM(HistoricalFS!I50:I51),0)</f>
        <v>-0.30651638060341208</v>
      </c>
      <c r="J24" s="32">
        <f>IFERROR(HistoricalFS!J36/SUM(HistoricalFS!J50:J51),0)</f>
        <v>-8.7686298356707396E-2</v>
      </c>
      <c r="K24" s="32">
        <f>IFERROR(HistoricalFS!K36/SUM(HistoricalFS!K50:K51),0)</f>
        <v>0.31813043171059141</v>
      </c>
      <c r="L24" s="32">
        <f>IFERROR(HistoricalFS!L36/SUM(HistoricalFS!L50:L51),0)</f>
        <v>0.14098877255820361</v>
      </c>
      <c r="N24" s="19">
        <f t="shared" si="2"/>
        <v>7.348450226067141E-3</v>
      </c>
      <c r="O24" s="19">
        <f t="shared" si="3"/>
        <v>-1.2567546914944279E-2</v>
      </c>
    </row>
    <row r="25" spans="2:15" x14ac:dyDescent="0.3">
      <c r="B25" t="s">
        <v>137</v>
      </c>
      <c r="C25" s="32">
        <f>IFERROR(C23*C24,0)</f>
        <v>0.17355290357824379</v>
      </c>
      <c r="D25" s="32">
        <f t="shared" ref="D25:L25" si="5">IFERROR(D23*D24,0)</f>
        <v>7.2241189530689517E-2</v>
      </c>
      <c r="E25" s="32">
        <f t="shared" si="5"/>
        <v>9.2254980749341738E-3</v>
      </c>
      <c r="F25" s="32">
        <f t="shared" si="5"/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2">
        <f t="shared" si="5"/>
        <v>0.29103370310181592</v>
      </c>
      <c r="L25" s="32">
        <f t="shared" si="5"/>
        <v>0.12197788951646231</v>
      </c>
      <c r="N25" s="19">
        <f t="shared" si="2"/>
        <v>6.6803118380214563E-2</v>
      </c>
      <c r="O25" s="19">
        <f t="shared" si="3"/>
        <v>4.6127490374670869E-3</v>
      </c>
    </row>
    <row r="26" spans="2:15" x14ac:dyDescent="0.3">
      <c r="B26" s="33" t="s">
        <v>138</v>
      </c>
      <c r="C26" s="38">
        <f>IFERROR(HistoricalFS!C27/HistoricalFS!C21,0)</f>
        <v>4.4352863933500721</v>
      </c>
      <c r="D26" s="38">
        <f>IFERROR(HistoricalFS!D27/HistoricalFS!D21,0)</f>
        <v>2.7568835373205922</v>
      </c>
      <c r="E26" s="38">
        <f>IFERROR(HistoricalFS!E27/HistoricalFS!E21,0)</f>
        <v>2.1154494328024094</v>
      </c>
      <c r="F26" s="38">
        <f>IFERROR(HistoricalFS!F27/HistoricalFS!F21,0)</f>
        <v>0.18645156808947008</v>
      </c>
      <c r="G26" s="38">
        <f>IFERROR(HistoricalFS!G27/HistoricalFS!G21,0)</f>
        <v>-0.47469326953211261</v>
      </c>
      <c r="H26" s="38">
        <f>IFERROR(HistoricalFS!H27/HistoricalFS!H21,0)</f>
        <v>1.079478385658198</v>
      </c>
      <c r="I26" s="38">
        <f>IFERROR(HistoricalFS!I27/HistoricalFS!I21,0)</f>
        <v>-1.2414275987824557E-2</v>
      </c>
      <c r="J26" s="38">
        <f>IFERROR(HistoricalFS!J27/HistoricalFS!J21,0)</f>
        <v>0.68020669934320532</v>
      </c>
      <c r="K26" s="38">
        <f>IFERROR(HistoricalFS!K27/HistoricalFS!K21,0)</f>
        <v>4.0275217276797468</v>
      </c>
      <c r="L26" s="38">
        <f>IFERROR(HistoricalFS!L27/HistoricalFS!L21,0)</f>
        <v>6.2876254180602009</v>
      </c>
      <c r="N26" s="29">
        <f t="shared" si="2"/>
        <v>2.108179561678396</v>
      </c>
      <c r="O26" s="29">
        <f t="shared" si="3"/>
        <v>1.5974639092303038</v>
      </c>
    </row>
    <row r="27" spans="2:15" x14ac:dyDescent="0.3">
      <c r="N27" s="19"/>
      <c r="O27" s="19"/>
    </row>
    <row r="28" spans="2:15" x14ac:dyDescent="0.3">
      <c r="B28" s="30" t="s">
        <v>139</v>
      </c>
      <c r="C28" s="39">
        <f>IFERROR(HistoricalFS!C6/HistoricalFS!C62,0)</f>
        <v>20.119918266350599</v>
      </c>
      <c r="D28" s="39">
        <f>IFERROR(HistoricalFS!D6/HistoricalFS!D62,0)</f>
        <v>19.160353236640844</v>
      </c>
      <c r="E28" s="39">
        <f>IFERROR(HistoricalFS!E6/HistoricalFS!E62,0)</f>
        <v>14.655712224718874</v>
      </c>
      <c r="F28" s="39">
        <f>IFERROR(HistoricalFS!F6/HistoricalFS!F62,0)</f>
        <v>15.894698773489607</v>
      </c>
      <c r="G28" s="39">
        <f>IFERROR(HistoricalFS!G6/HistoricalFS!G62,0)</f>
        <v>23.366617170976728</v>
      </c>
      <c r="H28" s="39">
        <f>IFERROR(HistoricalFS!H6/HistoricalFS!H62,0)</f>
        <v>19.701330853658153</v>
      </c>
      <c r="I28" s="39">
        <f>IFERROR(HistoricalFS!I6/HistoricalFS!I62,0)</f>
        <v>22.379917570317598</v>
      </c>
      <c r="J28" s="39">
        <f>IFERROR(HistoricalFS!J6/HistoricalFS!J62,0)</f>
        <v>21.982947610142858</v>
      </c>
      <c r="K28" s="39">
        <f>IFERROR(HistoricalFS!K6/HistoricalFS!K62,0)</f>
        <v>25.602642756016991</v>
      </c>
      <c r="L28" s="39">
        <f>IFERROR(HistoricalFS!L6/HistoricalFS!L62,0)</f>
        <v>33.189538043478258</v>
      </c>
      <c r="N28" s="29">
        <f t="shared" si="2"/>
        <v>21.605367650579048</v>
      </c>
      <c r="O28" s="29">
        <f t="shared" si="3"/>
        <v>21.051432938246727</v>
      </c>
    </row>
    <row r="29" spans="2:15" x14ac:dyDescent="0.3">
      <c r="B29" t="s">
        <v>140</v>
      </c>
      <c r="C29" s="29">
        <f>IFERROR(HistoricalFS!C6/HistoricalFS!C53,0)</f>
        <v>2.3769603927858673</v>
      </c>
      <c r="D29" s="29">
        <f>IFERROR(HistoricalFS!D6/HistoricalFS!D53,0)</f>
        <v>1.9842807783040648</v>
      </c>
      <c r="E29" s="29">
        <f>IFERROR(HistoricalFS!E6/HistoricalFS!E53,0)</f>
        <v>2.0414780318629697</v>
      </c>
      <c r="F29" s="29">
        <f>IFERROR(HistoricalFS!F6/HistoricalFS!F53,0)</f>
        <v>2.1667847518227492</v>
      </c>
      <c r="G29" s="29">
        <f>IFERROR(HistoricalFS!G6/HistoricalFS!G53,0)</f>
        <v>1.9731057108276859</v>
      </c>
      <c r="H29" s="29">
        <f>IFERROR(HistoricalFS!H6/HistoricalFS!H53,0)</f>
        <v>1.7323684804395676</v>
      </c>
      <c r="I29" s="29">
        <f>IFERROR(HistoricalFS!I6/HistoricalFS!I53,0)</f>
        <v>2.0170312149360217</v>
      </c>
      <c r="J29" s="29">
        <f>IFERROR(HistoricalFS!J6/HistoricalFS!J53,0)</f>
        <v>2.2286057258733614</v>
      </c>
      <c r="K29" s="29">
        <f>IFERROR(HistoricalFS!K6/HistoricalFS!K53,0)</f>
        <v>2.4473804408505742</v>
      </c>
      <c r="L29" s="29">
        <f>IFERROR(HistoricalFS!L6/HistoricalFS!L53,0)</f>
        <v>2.3228766594994954</v>
      </c>
      <c r="N29" s="29">
        <f t="shared" si="2"/>
        <v>2.1290872187202359</v>
      </c>
      <c r="O29" s="29">
        <f t="shared" si="3"/>
        <v>2.1041313918428592</v>
      </c>
    </row>
    <row r="30" spans="2:15" x14ac:dyDescent="0.3">
      <c r="B30" t="s">
        <v>141</v>
      </c>
      <c r="C30" s="29">
        <f>IFERROR(HistoricalFS!C6/HistoricalFS!C63,0)</f>
        <v>8.3613381173839922</v>
      </c>
      <c r="D30" s="29">
        <f>IFERROR(HistoricalFS!D6/HistoricalFS!D63,0)</f>
        <v>7.6867643466738649</v>
      </c>
      <c r="E30" s="29">
        <f>IFERROR(HistoricalFS!E6/HistoricalFS!E63,0)</f>
        <v>6.9190051742350009</v>
      </c>
      <c r="F30" s="29">
        <f>IFERROR(HistoricalFS!F6/HistoricalFS!F63,0)</f>
        <v>7.7392856309817084</v>
      </c>
      <c r="G30" s="29">
        <f>IFERROR(HistoricalFS!G6/HistoricalFS!G63,0)</f>
        <v>6.9698269049637886</v>
      </c>
      <c r="H30" s="29">
        <f>IFERROR(HistoricalFS!H6/HistoricalFS!H63,0)</f>
        <v>6.9217098811563442</v>
      </c>
      <c r="I30" s="29">
        <f>IFERROR(HistoricalFS!I6/HistoricalFS!I63,0)</f>
        <v>7.9015588385356104</v>
      </c>
      <c r="J30" s="29">
        <f>IFERROR(HistoricalFS!J6/HistoricalFS!J63,0)</f>
        <v>8.4888641723217457</v>
      </c>
      <c r="K30" s="29">
        <f>IFERROR(HistoricalFS!K6/HistoricalFS!K63,0)</f>
        <v>9.0821126642671803</v>
      </c>
      <c r="L30" s="29">
        <f>IFERROR(HistoricalFS!L6/HistoricalFS!L63,0)</f>
        <v>9.3019738094734397</v>
      </c>
      <c r="N30" s="29">
        <f t="shared" si="2"/>
        <v>7.9372439539992667</v>
      </c>
      <c r="O30" s="29">
        <f t="shared" si="3"/>
        <v>7.8204222347586594</v>
      </c>
    </row>
    <row r="31" spans="2:15" x14ac:dyDescent="0.3">
      <c r="B31" t="s">
        <v>142</v>
      </c>
      <c r="C31" s="29">
        <f>IFERROR(HistoricalFS!C6/HistoricalFS!C56,0)</f>
        <v>2.546312771514708</v>
      </c>
      <c r="D31" s="29">
        <f>IFERROR(HistoricalFS!D6/HistoricalFS!D56,0)</f>
        <v>2.8109343484246239</v>
      </c>
      <c r="E31" s="29">
        <f>IFERROR(HistoricalFS!E6/HistoricalFS!E56,0)</f>
        <v>2.4012948768781421</v>
      </c>
      <c r="F31" s="29">
        <f>IFERROR(HistoricalFS!F6/HistoricalFS!F56,0)</f>
        <v>2.7144319562092578</v>
      </c>
      <c r="G31" s="29">
        <f>IFERROR(HistoricalFS!G6/HistoricalFS!G56,0)</f>
        <v>2.0539205744067566</v>
      </c>
      <c r="H31" s="29">
        <f>IFERROR(HistoricalFS!H6/HistoricalFS!H56,0)</f>
        <v>1.8008727134726064</v>
      </c>
      <c r="I31" s="29">
        <f>IFERROR(HistoricalFS!I6/HistoricalFS!I56,0)</f>
        <v>2.0053488717943728</v>
      </c>
      <c r="J31" s="29">
        <f>IFERROR(HistoricalFS!J6/HistoricalFS!J56,0)</f>
        <v>2.6193791539294131</v>
      </c>
      <c r="K31" s="29">
        <f>IFERROR(HistoricalFS!K6/HistoricalFS!K56,0)</f>
        <v>3.5784804386362699</v>
      </c>
      <c r="L31" s="29">
        <f>IFERROR(HistoricalFS!L6/HistoricalFS!L56,0)</f>
        <v>3.8004010475638954</v>
      </c>
      <c r="N31" s="29">
        <f t="shared" si="2"/>
        <v>2.6331376752830042</v>
      </c>
      <c r="O31" s="29">
        <f t="shared" si="3"/>
        <v>2.5828459627220606</v>
      </c>
    </row>
    <row r="32" spans="2:15" x14ac:dyDescent="0.3">
      <c r="B32" s="33" t="s">
        <v>143</v>
      </c>
      <c r="C32" s="38">
        <f>IFERROR(HistoricalFS!C6/SUM(HistoricalFS!C50:C51),0)</f>
        <v>3.4583567493379874</v>
      </c>
      <c r="D32" s="38">
        <f>IFERROR(HistoricalFS!D6/SUM(HistoricalFS!D50:D51),0)</f>
        <v>4.6449144180459854</v>
      </c>
      <c r="E32" s="38">
        <f>IFERROR(HistoricalFS!E6/SUM(HistoricalFS!E50:E51),0)</f>
        <v>3.0551908765475422</v>
      </c>
      <c r="F32" s="38">
        <f>IFERROR(HistoricalFS!F6/SUM(HistoricalFS!F50:F51),0)</f>
        <v>5.0172915853821474</v>
      </c>
      <c r="G32" s="38">
        <f>IFERROR(HistoricalFS!G6/SUM(HistoricalFS!G50:G51),0)</f>
        <v>4.1387770133514525</v>
      </c>
      <c r="H32" s="38">
        <f>IFERROR(HistoricalFS!H6/SUM(HistoricalFS!H50:H51),0)</f>
        <v>4.5214403678625628</v>
      </c>
      <c r="I32" s="38">
        <f>IFERROR(HistoricalFS!I6/SUM(HistoricalFS!I50:I51),0)</f>
        <v>6.2487852671963351</v>
      </c>
      <c r="J32" s="38">
        <f>IFERROR(HistoricalFS!J6/SUM(HistoricalFS!J50:J51),0)</f>
        <v>7.6335680916398054</v>
      </c>
      <c r="K32" s="38">
        <f>IFERROR(HistoricalFS!K6/SUM(HistoricalFS!K50:K51),0)</f>
        <v>5.1110012011587651</v>
      </c>
      <c r="L32" s="38">
        <f>IFERROR(HistoricalFS!L6/SUM(HistoricalFS!L50:L51),0)</f>
        <v>3.7857745557239291</v>
      </c>
      <c r="N32" s="29">
        <f t="shared" si="2"/>
        <v>4.7615100126246501</v>
      </c>
      <c r="O32" s="29">
        <f t="shared" si="3"/>
        <v>4.5831773929542745</v>
      </c>
    </row>
    <row r="33" spans="2:15" x14ac:dyDescent="0.3">
      <c r="C33" s="29"/>
      <c r="D33" s="29"/>
      <c r="E33" s="29"/>
      <c r="F33" s="29"/>
      <c r="G33" s="29"/>
      <c r="H33" s="29"/>
      <c r="I33" s="29"/>
      <c r="J33" s="29"/>
      <c r="K33" s="29"/>
      <c r="L33" s="29"/>
      <c r="N33" s="19"/>
      <c r="O33" s="19"/>
    </row>
    <row r="34" spans="2:15" x14ac:dyDescent="0.3">
      <c r="B34" s="30" t="s">
        <v>144</v>
      </c>
      <c r="C34" s="40">
        <f>IFERROR(365/C28,0)</f>
        <v>18.141226776772818</v>
      </c>
      <c r="D34" s="40">
        <f t="shared" ref="D34:L34" si="6">IFERROR(365/D28,0)</f>
        <v>19.049753180019717</v>
      </c>
      <c r="E34" s="40">
        <f t="shared" si="6"/>
        <v>24.904964999543136</v>
      </c>
      <c r="F34" s="40">
        <f t="shared" si="6"/>
        <v>22.963631157878556</v>
      </c>
      <c r="G34" s="40">
        <f t="shared" si="6"/>
        <v>15.620575170519771</v>
      </c>
      <c r="H34" s="40">
        <f t="shared" si="6"/>
        <v>18.52666719376608</v>
      </c>
      <c r="I34" s="40">
        <f t="shared" si="6"/>
        <v>16.309264717046954</v>
      </c>
      <c r="J34" s="40">
        <f t="shared" si="6"/>
        <v>16.603778823163378</v>
      </c>
      <c r="K34" s="40">
        <f t="shared" si="6"/>
        <v>14.256340780063407</v>
      </c>
      <c r="L34" s="40">
        <f t="shared" si="6"/>
        <v>10.997441408248902</v>
      </c>
      <c r="N34" s="41">
        <f t="shared" si="2"/>
        <v>17.737364420702271</v>
      </c>
      <c r="O34" s="41">
        <f t="shared" si="3"/>
        <v>17.372502799968096</v>
      </c>
    </row>
    <row r="35" spans="2:15" x14ac:dyDescent="0.3">
      <c r="B35" t="s">
        <v>145</v>
      </c>
      <c r="C35" s="41">
        <f t="shared" ref="C35:L36" si="7">IFERROR(365/C29,0)</f>
        <v>153.55745981623585</v>
      </c>
      <c r="D35" s="41">
        <f t="shared" si="7"/>
        <v>183.94574194885871</v>
      </c>
      <c r="E35" s="41">
        <f t="shared" si="7"/>
        <v>178.79202925682029</v>
      </c>
      <c r="F35" s="41">
        <f t="shared" si="7"/>
        <v>168.45235766633192</v>
      </c>
      <c r="G35" s="41">
        <f t="shared" si="7"/>
        <v>184.98755439052903</v>
      </c>
      <c r="H35" s="41">
        <f t="shared" si="7"/>
        <v>210.69420514242194</v>
      </c>
      <c r="I35" s="41">
        <f t="shared" si="7"/>
        <v>180.95902398395825</v>
      </c>
      <c r="J35" s="41">
        <f t="shared" si="7"/>
        <v>163.77953074537726</v>
      </c>
      <c r="K35" s="41">
        <f t="shared" si="7"/>
        <v>149.13905247732802</v>
      </c>
      <c r="L35" s="41">
        <f t="shared" si="7"/>
        <v>157.13275111156597</v>
      </c>
      <c r="N35" s="41">
        <f t="shared" si="2"/>
        <v>173.14397065394274</v>
      </c>
      <c r="O35" s="41">
        <f t="shared" si="3"/>
        <v>173.6221934615761</v>
      </c>
    </row>
    <row r="36" spans="2:15" x14ac:dyDescent="0.3">
      <c r="B36" t="s">
        <v>146</v>
      </c>
      <c r="C36" s="41">
        <f t="shared" si="7"/>
        <v>43.653299851746382</v>
      </c>
      <c r="D36" s="41">
        <f t="shared" si="7"/>
        <v>47.484218786795374</v>
      </c>
      <c r="E36" s="41">
        <f t="shared" si="7"/>
        <v>52.753248596949661</v>
      </c>
      <c r="F36" s="41">
        <f t="shared" si="7"/>
        <v>47.161975588398164</v>
      </c>
      <c r="G36" s="41">
        <f t="shared" si="7"/>
        <v>52.368588915752468</v>
      </c>
      <c r="H36" s="41">
        <f t="shared" si="7"/>
        <v>52.732634893247351</v>
      </c>
      <c r="I36" s="41">
        <f t="shared" si="7"/>
        <v>46.193416698982041</v>
      </c>
      <c r="J36" s="41">
        <f t="shared" si="7"/>
        <v>42.997507392107408</v>
      </c>
      <c r="K36" s="41">
        <f t="shared" si="7"/>
        <v>40.188887045638872</v>
      </c>
      <c r="L36" s="41">
        <f t="shared" si="7"/>
        <v>39.238983841071651</v>
      </c>
      <c r="N36" s="41">
        <f t="shared" si="2"/>
        <v>46.477276161068936</v>
      </c>
      <c r="O36" s="41">
        <f t="shared" si="3"/>
        <v>46.677696143690099</v>
      </c>
    </row>
    <row r="37" spans="2:15" x14ac:dyDescent="0.3">
      <c r="B37" s="33" t="s">
        <v>158</v>
      </c>
      <c r="C37" s="42">
        <f>IFERROR(SUM(C34,C36)-C35,0)</f>
        <v>-91.762933187716641</v>
      </c>
      <c r="D37" s="42">
        <f t="shared" ref="D37:L37" si="8">IFERROR(SUM(D34,D36)-D35,0)</f>
        <v>-117.41176998204362</v>
      </c>
      <c r="E37" s="42">
        <f t="shared" si="8"/>
        <v>-101.13381566032749</v>
      </c>
      <c r="F37" s="42">
        <f t="shared" si="8"/>
        <v>-98.326750920055204</v>
      </c>
      <c r="G37" s="42">
        <f t="shared" si="8"/>
        <v>-116.99839030425679</v>
      </c>
      <c r="H37" s="42">
        <f t="shared" si="8"/>
        <v>-139.43490305540851</v>
      </c>
      <c r="I37" s="42">
        <f t="shared" si="8"/>
        <v>-118.45634256792925</v>
      </c>
      <c r="J37" s="42">
        <f t="shared" si="8"/>
        <v>-104.17824453010647</v>
      </c>
      <c r="K37" s="42">
        <f t="shared" si="8"/>
        <v>-94.693824651625746</v>
      </c>
      <c r="L37" s="42">
        <f t="shared" si="8"/>
        <v>-106.89632586224542</v>
      </c>
      <c r="N37" s="41">
        <f t="shared" si="2"/>
        <v>-108.92933007217152</v>
      </c>
      <c r="O37" s="41">
        <f t="shared" si="3"/>
        <v>-105.53728519617594</v>
      </c>
    </row>
    <row r="38" spans="2:15" x14ac:dyDescent="0.3">
      <c r="N38" s="19"/>
      <c r="O38" s="19"/>
    </row>
    <row r="39" spans="2:15" x14ac:dyDescent="0.3">
      <c r="B39" s="30" t="s">
        <v>147</v>
      </c>
      <c r="C39" s="31">
        <f>IFERROR(HistoricalFS!C73/HistoricalFS!C6,0)</f>
        <v>0.13880296917437968</v>
      </c>
      <c r="D39" s="31">
        <f>IFERROR(HistoricalFS!D73/HistoricalFS!D6,0)</f>
        <v>0.11197659883101685</v>
      </c>
      <c r="E39" s="31">
        <f>IFERROR(HistoricalFS!E73/HistoricalFS!E6,0)</f>
        <v>8.1829465689783804E-2</v>
      </c>
      <c r="F39" s="31">
        <f>IFERROR(HistoricalFS!F73/HistoricalFS!F6,0)</f>
        <v>6.2564913902968283E-2</v>
      </c>
      <c r="G39" s="31">
        <f>IFERROR(HistoricalFS!G73/HistoricalFS!G6,0)</f>
        <v>0.10201534872316967</v>
      </c>
      <c r="H39" s="31">
        <f>IFERROR(HistoricalFS!H73/HistoricalFS!H6,0)</f>
        <v>0.11609735592921788</v>
      </c>
      <c r="I39" s="31">
        <f>IFERROR(HistoricalFS!I73/HistoricalFS!I6,0)</f>
        <v>5.1293389541856201E-2</v>
      </c>
      <c r="J39" s="31">
        <f>IFERROR(HistoricalFS!J73/HistoricalFS!J6,0)</f>
        <v>0.1022872501383586</v>
      </c>
      <c r="K39" s="31">
        <f>IFERROR(HistoricalFS!K73/HistoricalFS!K6,0)</f>
        <v>0.15648040625230406</v>
      </c>
      <c r="L39" s="31">
        <f>IFERROR(HistoricalFS!L73/HistoricalFS!L6,0)</f>
        <v>0.14351311704704398</v>
      </c>
      <c r="N39" s="19">
        <f t="shared" si="2"/>
        <v>0.10668608152300992</v>
      </c>
      <c r="O39" s="19">
        <f t="shared" si="3"/>
        <v>0.10713192448468772</v>
      </c>
    </row>
    <row r="40" spans="2:15" x14ac:dyDescent="0.3">
      <c r="B40" t="s">
        <v>148</v>
      </c>
      <c r="C40" s="32">
        <f>IFERROR(HistoricalFS!C73/HistoricalFS!C67,0)</f>
        <v>0.14400390114722728</v>
      </c>
      <c r="D40" s="32">
        <f>IFERROR(HistoricalFS!D73/HistoricalFS!D67,0)</f>
        <v>0.11079026383265471</v>
      </c>
      <c r="E40" s="32">
        <f>IFERROR(HistoricalFS!E73/HistoricalFS!E67,0)</f>
        <v>7.2915700426609081E-2</v>
      </c>
      <c r="F40" s="32">
        <f>IFERROR(HistoricalFS!F73/HistoricalFS!F67,0)</f>
        <v>6.1794355046453676E-2</v>
      </c>
      <c r="G40" s="32">
        <f>IFERROR(HistoricalFS!G73/HistoricalFS!G67,0)</f>
        <v>8.3181306579414735E-2</v>
      </c>
      <c r="H40" s="32">
        <f>IFERROR(HistoricalFS!H73/HistoricalFS!H67,0)</f>
        <v>8.4903585330452558E-2</v>
      </c>
      <c r="I40" s="32">
        <f>IFERROR(HistoricalFS!I73/HistoricalFS!I67,0)</f>
        <v>4.3404744809245228E-2</v>
      </c>
      <c r="J40" s="32">
        <f>IFERROR(HistoricalFS!J73/HistoricalFS!J67,0)</f>
        <v>0.10573861289612117</v>
      </c>
      <c r="K40" s="32">
        <f>IFERROR(HistoricalFS!K73/HistoricalFS!K67,0)</f>
        <v>0.18379199017105929</v>
      </c>
      <c r="L40" s="32">
        <f>IFERROR(HistoricalFS!L73/HistoricalFS!L67,0)</f>
        <v>0.1673912985810655</v>
      </c>
      <c r="N40" s="19">
        <f t="shared" si="2"/>
        <v>0.10579157588203034</v>
      </c>
      <c r="O40" s="19">
        <f t="shared" si="3"/>
        <v>9.5321099113286872E-2</v>
      </c>
    </row>
    <row r="41" spans="2:15" x14ac:dyDescent="0.3">
      <c r="B41" s="33" t="s">
        <v>149</v>
      </c>
      <c r="C41" s="34">
        <f>IFERROR(HistoricalFS!C73/HistoricalFS!C52,0)</f>
        <v>0.54641813518923599</v>
      </c>
      <c r="D41" s="34">
        <f>IFERROR(HistoricalFS!D73/HistoricalFS!D52,0)</f>
        <v>0.38419492244540293</v>
      </c>
      <c r="E41" s="34">
        <f>IFERROR(HistoricalFS!E73/HistoricalFS!E52,0)</f>
        <v>0.26821016235214945</v>
      </c>
      <c r="F41" s="34">
        <f>IFERROR(HistoricalFS!F73/HistoricalFS!F52,0)</f>
        <v>0.17792031558363741</v>
      </c>
      <c r="G41" s="34">
        <f>IFERROR(HistoricalFS!G73/HistoricalFS!G52,0)</f>
        <v>0.21342610534184314</v>
      </c>
      <c r="H41" s="34">
        <f>IFERROR(HistoricalFS!H73/HistoricalFS!H52,0)</f>
        <v>0.20404132622559662</v>
      </c>
      <c r="I41" s="34">
        <f>IFERROR(HistoricalFS!I73/HistoricalFS!I52,0)</f>
        <v>9.7527651770721868E-2</v>
      </c>
      <c r="J41" s="34">
        <f>IFERROR(HistoricalFS!J73/HistoricalFS!J52,0)</f>
        <v>0.26386624636576322</v>
      </c>
      <c r="K41" s="34">
        <f>IFERROR(HistoricalFS!K73/HistoricalFS!K52,0)</f>
        <v>0.63315744331742241</v>
      </c>
      <c r="L41" s="34">
        <f>IFERROR(HistoricalFS!L73/HistoricalFS!L52,0)</f>
        <v>0.88205199888174446</v>
      </c>
      <c r="N41" s="19">
        <f t="shared" si="2"/>
        <v>0.36708143074735172</v>
      </c>
      <c r="O41" s="19">
        <f t="shared" si="3"/>
        <v>0.26603820435895631</v>
      </c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9F201BC-2967-4925-8BD0-98C1F647A686}">
          <x14:colorSeries rgb="FF0275D8"/>
          <x14:colorNegative rgb="FFD00000"/>
          <x14:colorAxis rgb="FF000000"/>
          <x14:colorMarkers theme="7" tint="-0.249977111117893"/>
          <x14:colorFirst rgb="FFD00000"/>
          <x14:colorLast rgb="FFD00000"/>
          <x14:colorHigh rgb="FFD00000"/>
          <x14:colorLow rgb="FFD00000"/>
          <x14:sparklines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  <x14:sparkline>
              <xm:f>'Ratio Analysis'!C41:L41</xm:f>
              <xm:sqref>M41</xm:sqref>
            </x14:sparkline>
          </x14:sparklines>
        </x14:sparklineGroup>
        <x14:sparklineGroup displayEmptyCellsAs="gap" markers="1" xr2:uid="{2C036C4F-F471-4558-A8C5-DD09034D10D9}">
          <x14:colorSeries rgb="FF0275D8"/>
          <x14:colorNegative rgb="FFD00000"/>
          <x14:colorAxis rgb="FF000000"/>
          <x14:colorMarkers theme="7" tint="-0.249977111117893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  <x14:sparkline>
              <xm:f>'Ratio Analysis'!D10:L10</xm:f>
              <xm:sqref>M10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680-605A-4D42-AD06-E70031FD4607}">
  <dimension ref="A2:L44"/>
  <sheetViews>
    <sheetView showGridLines="0" tabSelected="1" topLeftCell="A21" workbookViewId="0">
      <selection activeCell="D35" sqref="D35"/>
    </sheetView>
  </sheetViews>
  <sheetFormatPr defaultRowHeight="14.4" x14ac:dyDescent="0.3"/>
  <cols>
    <col min="1" max="1" width="1.88671875" customWidth="1"/>
    <col min="2" max="2" width="26.5546875" customWidth="1"/>
  </cols>
  <sheetData>
    <row r="2" spans="1:12" x14ac:dyDescent="0.3">
      <c r="A2" s="21" t="s">
        <v>57</v>
      </c>
      <c r="B2" s="47" t="str">
        <f>"Common Size Income Statement - "&amp;'Data Sheet'!$B$1</f>
        <v>Common Size Income Statement - TATA MOTORS LTD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3">
      <c r="B3" s="10" t="s">
        <v>162</v>
      </c>
      <c r="C3" s="11">
        <f>'Data Sheet'!B$16</f>
        <v>42460</v>
      </c>
      <c r="D3" s="11">
        <f>'Data Sheet'!C$16</f>
        <v>42825</v>
      </c>
      <c r="E3" s="11">
        <f>'Data Sheet'!D$16</f>
        <v>43190</v>
      </c>
      <c r="F3" s="11">
        <f>'Data Sheet'!E$16</f>
        <v>43555</v>
      </c>
      <c r="G3" s="11">
        <f>'Data Sheet'!F$16</f>
        <v>43921</v>
      </c>
      <c r="H3" s="11">
        <f>'Data Sheet'!G$16</f>
        <v>44286</v>
      </c>
      <c r="I3" s="11">
        <f>'Data Sheet'!H$16</f>
        <v>44651</v>
      </c>
      <c r="J3" s="11">
        <f>'Data Sheet'!I$16</f>
        <v>45016</v>
      </c>
      <c r="K3" s="11">
        <f>'Data Sheet'!J$16</f>
        <v>45382</v>
      </c>
      <c r="L3" s="11">
        <f>'Data Sheet'!K$16</f>
        <v>45747</v>
      </c>
    </row>
    <row r="5" spans="1:12" x14ac:dyDescent="0.3">
      <c r="B5" s="44" t="str">
        <f>'Data Sheet'!A17</f>
        <v>Sales</v>
      </c>
      <c r="C5" s="19">
        <f>'Data Sheet'!B17/'Data Sheet'!B$17</f>
        <v>1</v>
      </c>
      <c r="D5" s="19">
        <f>'Data Sheet'!C17/'Data Sheet'!C$17</f>
        <v>1</v>
      </c>
      <c r="E5" s="19">
        <f>'Data Sheet'!D17/'Data Sheet'!D$17</f>
        <v>1</v>
      </c>
      <c r="F5" s="19">
        <f>'Data Sheet'!E17/'Data Sheet'!E$17</f>
        <v>1</v>
      </c>
      <c r="G5" s="19">
        <f>'Data Sheet'!F17/'Data Sheet'!F$17</f>
        <v>1</v>
      </c>
      <c r="H5" s="19">
        <f>'Data Sheet'!G17/'Data Sheet'!G$17</f>
        <v>1</v>
      </c>
      <c r="I5" s="19">
        <f>'Data Sheet'!H17/'Data Sheet'!H$17</f>
        <v>1</v>
      </c>
      <c r="J5" s="19">
        <f>'Data Sheet'!I17/'Data Sheet'!I$17</f>
        <v>1</v>
      </c>
      <c r="K5" s="19">
        <f>'Data Sheet'!J17/'Data Sheet'!J$17</f>
        <v>1</v>
      </c>
      <c r="L5" s="19">
        <f>'Data Sheet'!K17/'Data Sheet'!K$17</f>
        <v>1</v>
      </c>
    </row>
    <row r="6" spans="1:12" x14ac:dyDescent="0.3">
      <c r="B6" s="44" t="str">
        <f>'Data Sheet'!A18</f>
        <v>Raw Material Cost</v>
      </c>
      <c r="C6" s="19">
        <f>'Data Sheet'!B18/'Data Sheet'!B$17</f>
        <v>0.60844785632875986</v>
      </c>
      <c r="D6" s="19">
        <f>'Data Sheet'!C18/'Data Sheet'!C$17</f>
        <v>0.64256170851760019</v>
      </c>
      <c r="E6" s="19">
        <f>'Data Sheet'!D18/'Data Sheet'!D$17</f>
        <v>0.6444735745247272</v>
      </c>
      <c r="F6" s="19">
        <f>'Data Sheet'!E18/'Data Sheet'!E$17</f>
        <v>0.64340246222408271</v>
      </c>
      <c r="G6" s="19">
        <f>'Data Sheet'!F18/'Data Sheet'!F$17</f>
        <v>0.63163558516963991</v>
      </c>
      <c r="H6" s="19">
        <f>'Data Sheet'!G18/'Data Sheet'!G$17</f>
        <v>0.6149343010611712</v>
      </c>
      <c r="I6" s="19">
        <f>'Data Sheet'!H18/'Data Sheet'!H$17</f>
        <v>0.64389656704768283</v>
      </c>
      <c r="J6" s="19">
        <f>'Data Sheet'!I18/'Data Sheet'!I$17</f>
        <v>0.66842005177546293</v>
      </c>
      <c r="K6" s="19">
        <f>'Data Sheet'!J18/'Data Sheet'!J$17</f>
        <v>0.63205273538302731</v>
      </c>
      <c r="L6" s="19">
        <f>'Data Sheet'!K18/'Data Sheet'!K$17</f>
        <v>0.61167400129635319</v>
      </c>
    </row>
    <row r="7" spans="1:12" x14ac:dyDescent="0.3">
      <c r="B7" s="44" t="str">
        <f>'Data Sheet'!A19</f>
        <v>Change in Inventory</v>
      </c>
      <c r="C7" s="19">
        <f>'Data Sheet'!B19/'Data Sheet'!B$17</f>
        <v>1.0075203555743071E-2</v>
      </c>
      <c r="D7" s="19">
        <f>'Data Sheet'!C19/'Data Sheet'!C$17</f>
        <v>2.7438359337454348E-2</v>
      </c>
      <c r="E7" s="19">
        <f>'Data Sheet'!D19/'Data Sheet'!D$17</f>
        <v>7.0196420187680708E-3</v>
      </c>
      <c r="F7" s="19">
        <f>'Data Sheet'!E19/'Data Sheet'!E$17</f>
        <v>-6.8003274840166073E-3</v>
      </c>
      <c r="G7" s="19">
        <f>'Data Sheet'!F19/'Data Sheet'!F$17</f>
        <v>-8.5463950250197294E-3</v>
      </c>
      <c r="H7" s="19">
        <f>'Data Sheet'!G19/'Data Sheet'!G$17</f>
        <v>-1.8752035421080705E-2</v>
      </c>
      <c r="I7" s="19">
        <f>'Data Sheet'!H19/'Data Sheet'!H$17</f>
        <v>-5.7118668451859233E-3</v>
      </c>
      <c r="J7" s="19">
        <f>'Data Sheet'!I19/'Data Sheet'!I$17</f>
        <v>1.3821030371772196E-2</v>
      </c>
      <c r="K7" s="19">
        <f>'Data Sheet'!J19/'Data Sheet'!J$17</f>
        <v>3.6081619110816189E-3</v>
      </c>
      <c r="L7" s="19">
        <f>'Data Sheet'!K19/'Data Sheet'!K$17</f>
        <v>-6.4499255165512458E-3</v>
      </c>
    </row>
    <row r="8" spans="1:12" x14ac:dyDescent="0.3">
      <c r="B8" s="44" t="str">
        <f>'Data Sheet'!A20</f>
        <v>Power and Fuel</v>
      </c>
      <c r="C8" s="19">
        <f>'Data Sheet'!B20/'Data Sheet'!B$17</f>
        <v>4.1884212746881849E-3</v>
      </c>
      <c r="D8" s="19">
        <f>'Data Sheet'!C20/'Data Sheet'!C$17</f>
        <v>4.3005272931013168E-3</v>
      </c>
      <c r="E8" s="19">
        <f>'Data Sheet'!D20/'Data Sheet'!D$17</f>
        <v>4.4866329837632236E-3</v>
      </c>
      <c r="F8" s="19">
        <f>'Data Sheet'!E20/'Data Sheet'!E$17</f>
        <v>5.252495210943689E-3</v>
      </c>
      <c r="G8" s="19">
        <f>'Data Sheet'!F20/'Data Sheet'!F$17</f>
        <v>4.8452899066859867E-3</v>
      </c>
      <c r="H8" s="19">
        <f>'Data Sheet'!G20/'Data Sheet'!G$17</f>
        <v>4.4551376680254488E-3</v>
      </c>
      <c r="I8" s="19">
        <f>'Data Sheet'!H20/'Data Sheet'!H$17</f>
        <v>7.8228108508698862E-3</v>
      </c>
      <c r="J8" s="19">
        <f>'Data Sheet'!I20/'Data Sheet'!I$17</f>
        <v>7.2646530389880865E-3</v>
      </c>
      <c r="K8" s="19">
        <f>'Data Sheet'!J20/'Data Sheet'!J$17</f>
        <v>5.0435928629359288E-3</v>
      </c>
      <c r="L8" s="19">
        <f>'Data Sheet'!K20/'Data Sheet'!K$17</f>
        <v>5.5561241315002447E-3</v>
      </c>
    </row>
    <row r="9" spans="1:12" x14ac:dyDescent="0.3">
      <c r="B9" s="44" t="str">
        <f>'Data Sheet'!A21</f>
        <v>Other Mfr. Exp</v>
      </c>
      <c r="C9" s="19">
        <f>'Data Sheet'!B21/'Data Sheet'!B$17</f>
        <v>4.4320545725695638E-2</v>
      </c>
      <c r="D9" s="19">
        <f>'Data Sheet'!C21/'Data Sheet'!C$17</f>
        <v>3.7329067833585743E-2</v>
      </c>
      <c r="E9" s="19">
        <f>'Data Sheet'!D21/'Data Sheet'!D$17</f>
        <v>3.7632110912662539E-2</v>
      </c>
      <c r="F9" s="19">
        <f>'Data Sheet'!E21/'Data Sheet'!E$17</f>
        <v>3.8731542592793759E-2</v>
      </c>
      <c r="G9" s="19">
        <f>'Data Sheet'!F21/'Data Sheet'!F$17</f>
        <v>4.4208831899217663E-2</v>
      </c>
      <c r="H9" s="19">
        <f>'Data Sheet'!G21/'Data Sheet'!G$17</f>
        <v>3.3119871414431248E-2</v>
      </c>
      <c r="I9" s="19">
        <f>'Data Sheet'!H21/'Data Sheet'!H$17</f>
        <v>3.3856194794666339E-2</v>
      </c>
      <c r="J9" s="19">
        <f>'Data Sheet'!I21/'Data Sheet'!I$17</f>
        <v>3.4008940217616732E-2</v>
      </c>
      <c r="K9" s="19">
        <f>'Data Sheet'!J21/'Data Sheet'!J$17</f>
        <v>4.019667477696675E-2</v>
      </c>
      <c r="L9" s="19">
        <f>'Data Sheet'!K21/'Data Sheet'!K$17</f>
        <v>4.2786476989731516E-2</v>
      </c>
    </row>
    <row r="10" spans="1:12" x14ac:dyDescent="0.3">
      <c r="B10" s="44" t="str">
        <f>'Data Sheet'!A22</f>
        <v>Employee Cost</v>
      </c>
      <c r="C10" s="19">
        <f>'Data Sheet'!B22/'Data Sheet'!B$17</f>
        <v>0.10577313825968997</v>
      </c>
      <c r="D10" s="19">
        <f>'Data Sheet'!C22/'Data Sheet'!C$17</f>
        <v>0.10505627316086753</v>
      </c>
      <c r="E10" s="19">
        <f>'Data Sheet'!D22/'Data Sheet'!D$17</f>
        <v>0.10392742279141506</v>
      </c>
      <c r="F10" s="19">
        <f>'Data Sheet'!E22/'Data Sheet'!E$17</f>
        <v>0.11010149752399827</v>
      </c>
      <c r="G10" s="19">
        <f>'Data Sheet'!F22/'Data Sheet'!F$17</f>
        <v>0.11659262528451882</v>
      </c>
      <c r="H10" s="19">
        <f>'Data Sheet'!G22/'Data Sheet'!G$17</f>
        <v>0.11068479221440802</v>
      </c>
      <c r="I10" s="19">
        <f>'Data Sheet'!H22/'Data Sheet'!H$17</f>
        <v>0.11064147774412127</v>
      </c>
      <c r="J10" s="19">
        <f>'Data Sheet'!I22/'Data Sheet'!I$17</f>
        <v>9.7277205393335675E-2</v>
      </c>
      <c r="K10" s="19">
        <f>'Data Sheet'!J22/'Data Sheet'!J$17</f>
        <v>9.674758534247585E-2</v>
      </c>
      <c r="L10" s="19">
        <f>'Data Sheet'!K22/'Data Sheet'!K$17</f>
        <v>0.10863666859982488</v>
      </c>
    </row>
    <row r="11" spans="1:12" x14ac:dyDescent="0.3">
      <c r="B11" s="44" t="str">
        <f>'Data Sheet'!A23</f>
        <v>Selling and admin</v>
      </c>
      <c r="C11" s="19">
        <f>'Data Sheet'!B23/'Data Sheet'!B$17</f>
        <v>8.0542956927341092E-2</v>
      </c>
      <c r="D11" s="19">
        <f>'Data Sheet'!C23/'Data Sheet'!C$17</f>
        <v>0.1113838126242364</v>
      </c>
      <c r="E11" s="19">
        <f>'Data Sheet'!D23/'Data Sheet'!D$17</f>
        <v>0.10634377964323709</v>
      </c>
      <c r="F11" s="19">
        <f>'Data Sheet'!E23/'Data Sheet'!E$17</f>
        <v>0.1083658123643763</v>
      </c>
      <c r="G11" s="19">
        <f>'Data Sheet'!F23/'Data Sheet'!F$17</f>
        <v>0.11203335284677013</v>
      </c>
      <c r="H11" s="19">
        <f>'Data Sheet'!G23/'Data Sheet'!G$17</f>
        <v>9.2138805959692913E-2</v>
      </c>
      <c r="I11" s="19">
        <f>'Data Sheet'!H23/'Data Sheet'!H$17</f>
        <v>0.10488425325553319</v>
      </c>
      <c r="J11" s="19">
        <f>'Data Sheet'!I23/'Data Sheet'!I$17</f>
        <v>0.10070091373173573</v>
      </c>
      <c r="K11" s="19">
        <f>'Data Sheet'!J23/'Data Sheet'!J$17</f>
        <v>9.853323379783234E-2</v>
      </c>
      <c r="L11" s="19">
        <f>'Data Sheet'!K23/'Data Sheet'!K$17</f>
        <v>0.10711743367561605</v>
      </c>
    </row>
    <row r="12" spans="1:12" x14ac:dyDescent="0.3">
      <c r="B12" s="44" t="str">
        <f>'Data Sheet'!A24</f>
        <v>Other Expenses</v>
      </c>
      <c r="C12" s="19">
        <f>'Data Sheet'!B24/'Data Sheet'!B$17</f>
        <v>2.6183831565130516E-2</v>
      </c>
      <c r="D12" s="19">
        <f>'Data Sheet'!C24/'Data Sheet'!C$17</f>
        <v>1.7094282670289951E-2</v>
      </c>
      <c r="E12" s="19">
        <f>'Data Sheet'!D24/'Data Sheet'!D$17</f>
        <v>2.2582367211331639E-3</v>
      </c>
      <c r="F12" s="19">
        <f>'Data Sheet'!E24/'Data Sheet'!E$17</f>
        <v>5.6592338039812094E-3</v>
      </c>
      <c r="G12" s="19">
        <f>'Data Sheet'!F24/'Data Sheet'!F$17</f>
        <v>1.3239885383105405E-2</v>
      </c>
      <c r="H12" s="19">
        <f>'Data Sheet'!G24/'Data Sheet'!G$17</f>
        <v>-3.3407827826645677E-3</v>
      </c>
      <c r="I12" s="19">
        <f>'Data Sheet'!H24/'Data Sheet'!H$17</f>
        <v>4.4105011096641517E-3</v>
      </c>
      <c r="J12" s="19">
        <f>'Data Sheet'!I24/'Data Sheet'!I$17</f>
        <v>1.4187308112100993E-2</v>
      </c>
      <c r="K12" s="19">
        <f>'Data Sheet'!J24/'Data Sheet'!J$17</f>
        <v>-2.1957715844577157E-3</v>
      </c>
      <c r="L12" s="19">
        <f>'Data Sheet'!K24/'Data Sheet'!K$17</f>
        <v>-7.7985876573533923E-3</v>
      </c>
    </row>
    <row r="13" spans="1:12" x14ac:dyDescent="0.3">
      <c r="B13" s="44" t="str">
        <f>'Data Sheet'!A25</f>
        <v>Other Income</v>
      </c>
      <c r="C13" s="19">
        <f>'Data Sheet'!B25/'Data Sheet'!B$17</f>
        <v>-9.7771947249836663E-3</v>
      </c>
      <c r="D13" s="19">
        <f>'Data Sheet'!C25/'Data Sheet'!C$17</f>
        <v>6.9304853887117582E-3</v>
      </c>
      <c r="E13" s="19">
        <f>'Data Sheet'!D25/'Data Sheet'!D$17</f>
        <v>2.034889464081829E-2</v>
      </c>
      <c r="F13" s="19">
        <f>'Data Sheet'!E25/'Data Sheet'!E$17</f>
        <v>-8.8383094035074702E-2</v>
      </c>
      <c r="G13" s="19">
        <f>'Data Sheet'!F25/'Data Sheet'!F$17</f>
        <v>3.8959202846676288E-4</v>
      </c>
      <c r="H13" s="19">
        <f>'Data Sheet'!G25/'Data Sheet'!G$17</f>
        <v>-4.4507860953843105E-2</v>
      </c>
      <c r="I13" s="19">
        <f>'Data Sheet'!H25/'Data Sheet'!H$17</f>
        <v>8.7053994844814731E-3</v>
      </c>
      <c r="J13" s="19">
        <f>'Data Sheet'!I25/'Data Sheet'!I$17</f>
        <v>1.9261867686386363E-2</v>
      </c>
      <c r="K13" s="19">
        <f>'Data Sheet'!J25/'Data Sheet'!J$17</f>
        <v>1.1041067610410677E-2</v>
      </c>
      <c r="L13" s="19">
        <f>'Data Sheet'!K25/'Data Sheet'!K$17</f>
        <v>2.6777652691069947E-2</v>
      </c>
    </row>
    <row r="14" spans="1:12" x14ac:dyDescent="0.3">
      <c r="B14" s="44" t="str">
        <f>'Data Sheet'!A26</f>
        <v>Depreciation</v>
      </c>
      <c r="C14" s="19">
        <f>'Data Sheet'!B26/'Data Sheet'!B$17</f>
        <v>6.1201425695927715E-2</v>
      </c>
      <c r="D14" s="19">
        <f>'Data Sheet'!C26/'Data Sheet'!C$17</f>
        <v>6.63903865924938E-2</v>
      </c>
      <c r="E14" s="19">
        <f>'Data Sheet'!D26/'Data Sheet'!D$17</f>
        <v>7.3927472182518786E-2</v>
      </c>
      <c r="F14" s="19">
        <f>'Data Sheet'!E26/'Data Sheet'!E$17</f>
        <v>7.8130605447998658E-2</v>
      </c>
      <c r="G14" s="19">
        <f>'Data Sheet'!F26/'Data Sheet'!F$17</f>
        <v>8.206839774331566E-2</v>
      </c>
      <c r="H14" s="19">
        <f>'Data Sheet'!G26/'Data Sheet'!G$17</f>
        <v>9.4264230933596482E-2</v>
      </c>
      <c r="I14" s="19">
        <f>'Data Sheet'!H26/'Data Sheet'!H$17</f>
        <v>8.9191478279219347E-2</v>
      </c>
      <c r="J14" s="19">
        <f>'Data Sheet'!I26/'Data Sheet'!I$17</f>
        <v>7.1857611147098821E-2</v>
      </c>
      <c r="K14" s="19">
        <f>'Data Sheet'!J26/'Data Sheet'!J$17</f>
        <v>6.2760359065103591E-2</v>
      </c>
      <c r="L14" s="19">
        <f>'Data Sheet'!K26/'Data Sheet'!K$17</f>
        <v>5.2891208678743216E-2</v>
      </c>
    </row>
    <row r="15" spans="1:12" x14ac:dyDescent="0.3">
      <c r="B15" s="44" t="str">
        <f>'Data Sheet'!A27</f>
        <v>Interest</v>
      </c>
      <c r="C15" s="19">
        <f>'Data Sheet'!B27/'Data Sheet'!B$17</f>
        <v>1.7905727101993223E-2</v>
      </c>
      <c r="D15" s="19">
        <f>'Data Sheet'!C27/'Data Sheet'!C$17</f>
        <v>1.5714229512714312E-2</v>
      </c>
      <c r="E15" s="19">
        <f>'Data Sheet'!D27/'Data Sheet'!D$17</f>
        <v>1.605824830060304E-2</v>
      </c>
      <c r="F15" s="19">
        <f>'Data Sheet'!E27/'Data Sheet'!E$17</f>
        <v>1.9072102124141878E-2</v>
      </c>
      <c r="G15" s="19">
        <f>'Data Sheet'!F27/'Data Sheet'!F$17</f>
        <v>2.7744996829752802E-2</v>
      </c>
      <c r="H15" s="19">
        <f>'Data Sheet'!G27/'Data Sheet'!G$17</f>
        <v>3.2415292955516477E-2</v>
      </c>
      <c r="I15" s="19">
        <f>'Data Sheet'!H27/'Data Sheet'!H$17</f>
        <v>3.3441332168710897E-2</v>
      </c>
      <c r="J15" s="19">
        <f>'Data Sheet'!I27/'Data Sheet'!I$17</f>
        <v>2.9556231914277829E-2</v>
      </c>
      <c r="K15" s="19">
        <f>'Data Sheet'!J27/'Data Sheet'!J$17</f>
        <v>1.7497050799970507E-2</v>
      </c>
      <c r="L15" s="19">
        <f>'Data Sheet'!K27/'Data Sheet'!K$17</f>
        <v>1.1560286107415368E-2</v>
      </c>
    </row>
    <row r="16" spans="1:12" x14ac:dyDescent="0.3">
      <c r="B16" s="44" t="str">
        <f>'Data Sheet'!A28</f>
        <v>Profit before tax</v>
      </c>
      <c r="C16" s="19">
        <f>'Data Sheet'!B28/'Data Sheet'!B$17</f>
        <v>5.1734105951533375E-2</v>
      </c>
      <c r="D16" s="19">
        <f>'Data Sheet'!C28/'Data Sheet'!C$17</f>
        <v>3.453855652127677E-2</v>
      </c>
      <c r="E16" s="19">
        <f>'Data Sheet'!D28/'Data Sheet'!D$17</f>
        <v>3.8261058599526235E-2</v>
      </c>
      <c r="F16" s="19">
        <f>'Data Sheet'!E28/'Data Sheet'!E$17</f>
        <v>-0.10389917281140788</v>
      </c>
      <c r="G16" s="19">
        <f>'Data Sheet'!F28/'Data Sheet'!F$17</f>
        <v>-4.0525768059559354E-2</v>
      </c>
      <c r="H16" s="19">
        <f>'Data Sheet'!G28/'Data Sheet'!G$17</f>
        <v>-4.1931545799101064E-2</v>
      </c>
      <c r="I16" s="19">
        <f>'Data Sheet'!H28/'Data Sheet'!H$17</f>
        <v>-2.5151082611172375E-2</v>
      </c>
      <c r="J16" s="19">
        <f>'Data Sheet'!I28/'Data Sheet'!I$17</f>
        <v>9.809982727541881E-3</v>
      </c>
      <c r="K16" s="19">
        <f>'Data Sheet'!J28/'Data Sheet'!J$17</f>
        <v>6.4013769077637686E-2</v>
      </c>
      <c r="L16" s="19">
        <f>'Data Sheet'!K28/'Data Sheet'!K$17</f>
        <v>8.7904115352687662E-2</v>
      </c>
    </row>
    <row r="17" spans="1:12" x14ac:dyDescent="0.3">
      <c r="B17" s="44" t="str">
        <f>'Data Sheet'!A29</f>
        <v>Tax</v>
      </c>
      <c r="C17" s="19">
        <f>'Data Sheet'!B29/'Data Sheet'!B$17</f>
        <v>1.1078918686109574E-2</v>
      </c>
      <c r="D17" s="19">
        <f>'Data Sheet'!C29/'Data Sheet'!C$17</f>
        <v>1.2055321818169885E-2</v>
      </c>
      <c r="E17" s="19">
        <f>'Data Sheet'!D29/'Data Sheet'!D$17</f>
        <v>1.4892549653836963E-2</v>
      </c>
      <c r="F17" s="19">
        <f>'Data Sheet'!E29/'Data Sheet'!E$17</f>
        <v>-8.0726731015332912E-3</v>
      </c>
      <c r="G17" s="19">
        <f>'Data Sheet'!F29/'Data Sheet'!F$17</f>
        <v>1.5139735448971392E-3</v>
      </c>
      <c r="H17" s="19">
        <f>'Data Sheet'!G29/'Data Sheet'!G$17</f>
        <v>1.0175794327142584E-2</v>
      </c>
      <c r="I17" s="19">
        <f>'Data Sheet'!H29/'Data Sheet'!H$17</f>
        <v>1.5195672442685429E-2</v>
      </c>
      <c r="J17" s="19">
        <f>'Data Sheet'!I29/'Data Sheet'!I$17</f>
        <v>2.0350497621203548E-3</v>
      </c>
      <c r="K17" s="19">
        <f>'Data Sheet'!J29/'Data Sheet'!J$17</f>
        <v>-9.2715475927154754E-3</v>
      </c>
      <c r="L17" s="19">
        <f>'Data Sheet'!K29/'Data Sheet'!K$17</f>
        <v>2.3884738284492661E-2</v>
      </c>
    </row>
    <row r="18" spans="1:12" x14ac:dyDescent="0.3">
      <c r="B18" s="44" t="str">
        <f>'Data Sheet'!A30</f>
        <v>Net profit</v>
      </c>
      <c r="C18" s="19">
        <f>'Data Sheet'!B30/'Data Sheet'!B$17</f>
        <v>4.2407971415763523E-2</v>
      </c>
      <c r="D18" s="19">
        <f>'Data Sheet'!C30/'Data Sheet'!C$17</f>
        <v>2.764021885516954E-2</v>
      </c>
      <c r="E18" s="19">
        <f>'Data Sheet'!D30/'Data Sheet'!D$17</f>
        <v>3.0831401821049997E-2</v>
      </c>
      <c r="F18" s="19">
        <f>'Data Sheet'!E30/'Data Sheet'!E$17</f>
        <v>-9.5470566181711222E-2</v>
      </c>
      <c r="G18" s="19">
        <f>'Data Sheet'!F30/'Data Sheet'!F$17</f>
        <v>-4.6236426475450051E-2</v>
      </c>
      <c r="H18" s="19">
        <f>'Data Sheet'!G30/'Data Sheet'!G$17</f>
        <v>-5.3849770661713266E-2</v>
      </c>
      <c r="I18" s="19">
        <f>'Data Sheet'!H30/'Data Sheet'!H$17</f>
        <v>-4.1089320368684734E-2</v>
      </c>
      <c r="J18" s="19">
        <f>'Data Sheet'!I30/'Data Sheet'!I$17</f>
        <v>6.9783829363826268E-3</v>
      </c>
      <c r="K18" s="19">
        <f>'Data Sheet'!J30/'Data Sheet'!J$17</f>
        <v>7.2345259160952594E-2</v>
      </c>
      <c r="L18" s="19">
        <f>'Data Sheet'!K30/'Data Sheet'!K$17</f>
        <v>6.3293874162771921E-2</v>
      </c>
    </row>
    <row r="19" spans="1:12" x14ac:dyDescent="0.3">
      <c r="B19" s="44" t="str">
        <f>'Data Sheet'!A31</f>
        <v>Dividend Amount</v>
      </c>
      <c r="C19" s="19">
        <f>'Data Sheet'!B31/'Data Sheet'!B$17</f>
        <v>2.487496593975512E-4</v>
      </c>
      <c r="D19" s="19">
        <f>'Data Sheet'!C31/'Data Sheet'!C$17</f>
        <v>0</v>
      </c>
      <c r="E19" s="19">
        <f>'Data Sheet'!D31/'Data Sheet'!D$17</f>
        <v>0</v>
      </c>
      <c r="F19" s="19">
        <f>'Data Sheet'!E31/'Data Sheet'!E$17</f>
        <v>0</v>
      </c>
      <c r="G19" s="19">
        <f>'Data Sheet'!F31/'Data Sheet'!F$17</f>
        <v>0</v>
      </c>
      <c r="H19" s="19">
        <f>'Data Sheet'!G31/'Data Sheet'!G$17</f>
        <v>0</v>
      </c>
      <c r="I19" s="19">
        <f>'Data Sheet'!H31/'Data Sheet'!H$17</f>
        <v>0</v>
      </c>
      <c r="J19" s="19">
        <f>'Data Sheet'!I31/'Data Sheet'!I$17</f>
        <v>2.2141420032091505E-3</v>
      </c>
      <c r="K19" s="19">
        <f>'Data Sheet'!J31/'Data Sheet'!J$17</f>
        <v>5.3016478655164784E-3</v>
      </c>
      <c r="L19" s="19">
        <f>'Data Sheet'!K31/'Data Sheet'!K$17</f>
        <v>5.0216627434926482E-3</v>
      </c>
    </row>
    <row r="20" spans="1:12" x14ac:dyDescent="0.3">
      <c r="B20" t="s">
        <v>66</v>
      </c>
      <c r="C20" s="19">
        <f>HistoricalFS!C12/'Data Sheet'!B17</f>
        <v>0.24734524196690946</v>
      </c>
      <c r="D20" s="19">
        <f>HistoricalFS!D12/'Data Sheet'!C17</f>
        <v>0.23819078253229964</v>
      </c>
      <c r="E20" s="19">
        <f>HistoricalFS!E12/'Data Sheet'!D17</f>
        <v>0.21649990080619999</v>
      </c>
      <c r="F20" s="19">
        <f>HistoricalFS!F12/'Data Sheet'!E17</f>
        <v>0.19571167496416494</v>
      </c>
      <c r="G20" s="19">
        <f>HistoricalFS!G12/'Data Sheet'!F17</f>
        <v>0.19417127271491774</v>
      </c>
      <c r="H20" s="19">
        <f>HistoricalFS!H12/'Data Sheet'!G17</f>
        <v>0.2180538622208833</v>
      </c>
      <c r="I20" s="19">
        <f>HistoricalFS!I12/'Data Sheet'!H17</f>
        <v>0.19807108271747378</v>
      </c>
      <c r="J20" s="19">
        <f>HistoricalFS!J12/'Data Sheet'!I17</f>
        <v>0.20685017994636876</v>
      </c>
      <c r="K20" s="19">
        <f>HistoricalFS!K12/'Data Sheet'!J17</f>
        <v>0.22956757354567572</v>
      </c>
      <c r="L20" s="19">
        <f>HistoricalFS!L12/'Data Sheet'!K17</f>
        <v>0.22489680346603896</v>
      </c>
    </row>
    <row r="23" spans="1:12" x14ac:dyDescent="0.3">
      <c r="A23" s="21" t="s">
        <v>57</v>
      </c>
      <c r="B23" s="47" t="str">
        <f>"Common Size Balance Sheet - "&amp;'Data Sheet'!$B$1</f>
        <v>Common Size Balance Sheet - TATA MOTORS LTD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2" x14ac:dyDescent="0.3">
      <c r="B24" s="10" t="s">
        <v>162</v>
      </c>
      <c r="C24" s="11">
        <f>'Data Sheet'!B$16</f>
        <v>42460</v>
      </c>
      <c r="D24" s="11">
        <f>'Data Sheet'!C$16</f>
        <v>42825</v>
      </c>
      <c r="E24" s="11">
        <f>'Data Sheet'!D$16</f>
        <v>43190</v>
      </c>
      <c r="F24" s="11">
        <f>'Data Sheet'!E$16</f>
        <v>43555</v>
      </c>
      <c r="G24" s="11">
        <f>'Data Sheet'!F$16</f>
        <v>43921</v>
      </c>
      <c r="H24" s="11">
        <f>'Data Sheet'!G$16</f>
        <v>44286</v>
      </c>
      <c r="I24" s="11">
        <f>'Data Sheet'!H$16</f>
        <v>44651</v>
      </c>
      <c r="J24" s="11">
        <f>'Data Sheet'!I$16</f>
        <v>45016</v>
      </c>
      <c r="K24" s="11">
        <f>'Data Sheet'!J$16</f>
        <v>45382</v>
      </c>
      <c r="L24" s="11">
        <f>'Data Sheet'!K$16</f>
        <v>45747</v>
      </c>
    </row>
    <row r="26" spans="1:12" x14ac:dyDescent="0.3">
      <c r="B26" s="45" t="s">
        <v>163</v>
      </c>
      <c r="C26" s="19">
        <f>'Data Sheet'!B61/'Data Sheet'!B$61</f>
        <v>1</v>
      </c>
      <c r="D26" s="19">
        <f>'Data Sheet'!C61/'Data Sheet'!C$61</f>
        <v>1</v>
      </c>
      <c r="E26" s="19">
        <f>'Data Sheet'!D61/'Data Sheet'!D$61</f>
        <v>1</v>
      </c>
      <c r="F26" s="19">
        <f>'Data Sheet'!E61/'Data Sheet'!E$61</f>
        <v>1</v>
      </c>
      <c r="G26" s="19">
        <f>'Data Sheet'!F61/'Data Sheet'!F$61</f>
        <v>1</v>
      </c>
      <c r="H26" s="19">
        <f>'Data Sheet'!G61/'Data Sheet'!G$61</f>
        <v>1</v>
      </c>
      <c r="I26" s="19">
        <f>'Data Sheet'!H61/'Data Sheet'!H$61</f>
        <v>1</v>
      </c>
      <c r="J26" s="19">
        <f>'Data Sheet'!I61/'Data Sheet'!I$61</f>
        <v>1</v>
      </c>
      <c r="K26" s="19">
        <f>'Data Sheet'!J61/'Data Sheet'!J$61</f>
        <v>1</v>
      </c>
      <c r="L26" s="19">
        <f>'Data Sheet'!K61/'Data Sheet'!K$61</f>
        <v>1</v>
      </c>
    </row>
    <row r="27" spans="1:12" x14ac:dyDescent="0.3">
      <c r="B27" s="44" t="str">
        <f>'Data Sheet'!A57</f>
        <v>Equity Share Capital</v>
      </c>
      <c r="C27" s="19">
        <f>'Data Sheet'!B57/'Data Sheet'!B$61</f>
        <v>2.5806268250531225E-3</v>
      </c>
      <c r="D27" s="19">
        <f>'Data Sheet'!C57/'Data Sheet'!C$61</f>
        <v>2.491815624573979E-3</v>
      </c>
      <c r="E27" s="19">
        <f>'Data Sheet'!D57/'Data Sheet'!D$61</f>
        <v>2.0759077068585549E-3</v>
      </c>
      <c r="F27" s="19">
        <f>'Data Sheet'!E57/'Data Sheet'!E$61</f>
        <v>2.2218261230841693E-3</v>
      </c>
      <c r="G27" s="19">
        <f>'Data Sheet'!F57/'Data Sheet'!F$61</f>
        <v>2.2473026761653833E-3</v>
      </c>
      <c r="H27" s="19">
        <f>'Data Sheet'!G57/'Data Sheet'!G$61</f>
        <v>2.2420300429859294E-3</v>
      </c>
      <c r="I27" s="19">
        <f>'Data Sheet'!H57/'Data Sheet'!H$61</f>
        <v>2.3274677325505334E-3</v>
      </c>
      <c r="J27" s="19">
        <f>'Data Sheet'!I57/'Data Sheet'!I$61</f>
        <v>2.2888512875034999E-3</v>
      </c>
      <c r="K27" s="19">
        <f>'Data Sheet'!J57/'Data Sheet'!J$61</f>
        <v>2.0756601113333206E-3</v>
      </c>
      <c r="L27" s="19">
        <f>'Data Sheet'!K57/'Data Sheet'!K$61</f>
        <v>1.952394468569367E-3</v>
      </c>
    </row>
    <row r="28" spans="1:12" x14ac:dyDescent="0.3">
      <c r="B28" s="44" t="str">
        <f>'Data Sheet'!A58</f>
        <v>Reserves</v>
      </c>
      <c r="C28" s="19">
        <f>'Data Sheet'!B58/'Data Sheet'!B$61</f>
        <v>0.2974086354450261</v>
      </c>
      <c r="D28" s="19">
        <f>'Data Sheet'!C58/'Data Sheet'!C$61</f>
        <v>0.21051652437468349</v>
      </c>
      <c r="E28" s="19">
        <f>'Data Sheet'!D58/'Data Sheet'!D$61</f>
        <v>0.28958148432871839</v>
      </c>
      <c r="F28" s="19">
        <f>'Data Sheet'!E58/'Data Sheet'!E$61</f>
        <v>0.19463415350606564</v>
      </c>
      <c r="G28" s="19">
        <f>'Data Sheet'!F58/'Data Sheet'!F$61</f>
        <v>0.19476266101949907</v>
      </c>
      <c r="H28" s="19">
        <f>'Data Sheet'!G58/'Data Sheet'!G$61</f>
        <v>0.15950149121742019</v>
      </c>
      <c r="I28" s="19">
        <f>'Data Sheet'!H58/'Data Sheet'!H$61</f>
        <v>0.13309172094249011</v>
      </c>
      <c r="J28" s="19">
        <f>'Data Sheet'!I58/'Data Sheet'!I$61</f>
        <v>0.13313168263258116</v>
      </c>
      <c r="K28" s="19">
        <f>'Data Sheet'!J58/'Data Sheet'!J$61</f>
        <v>0.22772995310144756</v>
      </c>
      <c r="L28" s="19">
        <f>'Data Sheet'!K58/'Data Sheet'!K$61</f>
        <v>0.30614394134327921</v>
      </c>
    </row>
    <row r="29" spans="1:12" x14ac:dyDescent="0.3">
      <c r="B29" s="44" t="str">
        <f>'Data Sheet'!A59</f>
        <v>Borrowings</v>
      </c>
      <c r="C29" s="19">
        <f>'Data Sheet'!B59/'Data Sheet'!B$61</f>
        <v>0.2635415844998551</v>
      </c>
      <c r="D29" s="19">
        <f>'Data Sheet'!C59/'Data Sheet'!C$61</f>
        <v>0.2883699324485447</v>
      </c>
      <c r="E29" s="19">
        <f>'Data Sheet'!D59/'Data Sheet'!D$61</f>
        <v>0.27186031948660327</v>
      </c>
      <c r="F29" s="19">
        <f>'Data Sheet'!E59/'Data Sheet'!E$61</f>
        <v>0.34731477877468786</v>
      </c>
      <c r="G29" s="19">
        <f>'Data Sheet'!F59/'Data Sheet'!F$61</f>
        <v>0.38974288757311953</v>
      </c>
      <c r="H29" s="19">
        <f>'Data Sheet'!G59/'Data Sheet'!G$61</f>
        <v>0.41610975041683274</v>
      </c>
      <c r="I29" s="19">
        <f>'Data Sheet'!H59/'Data Sheet'!H$61</f>
        <v>0.445050649956031</v>
      </c>
      <c r="J29" s="19">
        <f>'Data Sheet'!I59/'Data Sheet'!I$61</f>
        <v>0.40072807474416255</v>
      </c>
      <c r="K29" s="19">
        <f>'Data Sheet'!J59/'Data Sheet'!J$61</f>
        <v>0.2902784956741295</v>
      </c>
      <c r="L29" s="19">
        <f>'Data Sheet'!K59/'Data Sheet'!K$61</f>
        <v>0.18977486451284309</v>
      </c>
    </row>
    <row r="30" spans="1:12" x14ac:dyDescent="0.3">
      <c r="B30" s="44" t="str">
        <f>'Data Sheet'!A60</f>
        <v>Other Liabilities</v>
      </c>
      <c r="C30" s="19">
        <f>'Data Sheet'!B60/'Data Sheet'!B$61</f>
        <v>0.43646915323006569</v>
      </c>
      <c r="D30" s="19">
        <f>'Data Sheet'!C60/'Data Sheet'!C$61</f>
        <v>0.4986217275521978</v>
      </c>
      <c r="E30" s="19">
        <f>'Data Sheet'!D60/'Data Sheet'!D$61</f>
        <v>0.43648228847781978</v>
      </c>
      <c r="F30" s="19">
        <f>'Data Sheet'!E60/'Data Sheet'!E$61</f>
        <v>0.45582924159616234</v>
      </c>
      <c r="G30" s="19">
        <f>'Data Sheet'!F60/'Data Sheet'!F$61</f>
        <v>0.41324714873121593</v>
      </c>
      <c r="H30" s="19">
        <f>'Data Sheet'!G60/'Data Sheet'!G$61</f>
        <v>0.42214672832276123</v>
      </c>
      <c r="I30" s="19">
        <f>'Data Sheet'!H60/'Data Sheet'!H$61</f>
        <v>0.41953016136892834</v>
      </c>
      <c r="J30" s="19">
        <f>'Data Sheet'!I60/'Data Sheet'!I$61</f>
        <v>0.46385139133575282</v>
      </c>
      <c r="K30" s="19">
        <f>'Data Sheet'!J60/'Data Sheet'!J$61</f>
        <v>0.47991589111308963</v>
      </c>
      <c r="L30" s="19">
        <f>'Data Sheet'!K60/'Data Sheet'!K$61</f>
        <v>0.50212879967530832</v>
      </c>
    </row>
    <row r="32" spans="1:12" x14ac:dyDescent="0.3">
      <c r="B32" s="45" t="s">
        <v>164</v>
      </c>
      <c r="C32" s="19">
        <f>'Data Sheet'!B66/'Data Sheet'!B$66</f>
        <v>1</v>
      </c>
      <c r="D32" s="19">
        <f>'Data Sheet'!C66/'Data Sheet'!C$66</f>
        <v>1</v>
      </c>
      <c r="E32" s="19">
        <f>'Data Sheet'!D66/'Data Sheet'!D$66</f>
        <v>1</v>
      </c>
      <c r="F32" s="19">
        <f>'Data Sheet'!E66/'Data Sheet'!E$66</f>
        <v>1</v>
      </c>
      <c r="G32" s="19">
        <f>'Data Sheet'!F66/'Data Sheet'!F$66</f>
        <v>1</v>
      </c>
      <c r="H32" s="19">
        <f>'Data Sheet'!G66/'Data Sheet'!G$66</f>
        <v>1</v>
      </c>
      <c r="I32" s="19">
        <f>'Data Sheet'!H66/'Data Sheet'!H$66</f>
        <v>1</v>
      </c>
      <c r="J32" s="19">
        <f>'Data Sheet'!I66/'Data Sheet'!I$66</f>
        <v>1</v>
      </c>
      <c r="K32" s="19">
        <f>'Data Sheet'!J66/'Data Sheet'!J$66</f>
        <v>1</v>
      </c>
      <c r="L32" s="19">
        <f>'Data Sheet'!K66/'Data Sheet'!K$66</f>
        <v>1</v>
      </c>
    </row>
    <row r="33" spans="2:12" x14ac:dyDescent="0.3">
      <c r="B33" s="44" t="str">
        <f>'Data Sheet'!A62</f>
        <v>Net Block</v>
      </c>
      <c r="C33" s="19">
        <f>'Data Sheet'!B62/'Data Sheet'!B$66</f>
        <v>0.40744008415097382</v>
      </c>
      <c r="D33" s="19">
        <f>'Data Sheet'!C62/'Data Sheet'!C$66</f>
        <v>0.35198456704657666</v>
      </c>
      <c r="E33" s="19">
        <f>'Data Sheet'!D62/'Data Sheet'!D$66</f>
        <v>0.37107854258332446</v>
      </c>
      <c r="F33" s="19">
        <f>'Data Sheet'!E62/'Data Sheet'!E$66</f>
        <v>0.36386391925064382</v>
      </c>
      <c r="G33" s="19">
        <f>'Data Sheet'!F62/'Data Sheet'!F$66</f>
        <v>0.39698726392101624</v>
      </c>
      <c r="H33" s="19">
        <f>'Data Sheet'!G62/'Data Sheet'!G$66</f>
        <v>0.40608849298230043</v>
      </c>
      <c r="I33" s="19">
        <f>'Data Sheet'!H62/'Data Sheet'!H$66</f>
        <v>0.42197417266906562</v>
      </c>
      <c r="J33" s="19">
        <f>'Data Sheet'!I62/'Data Sheet'!I$66</f>
        <v>0.39465148263642374</v>
      </c>
      <c r="K33" s="19">
        <f>'Data Sheet'!J62/'Data Sheet'!J$66</f>
        <v>0.32822221199877677</v>
      </c>
      <c r="L33" s="19">
        <f>'Data Sheet'!K62/'Data Sheet'!K$66</f>
        <v>0.3069105744973778</v>
      </c>
    </row>
    <row r="34" spans="2:12" x14ac:dyDescent="0.3">
      <c r="B34" s="44" t="str">
        <f>'Data Sheet'!A63</f>
        <v>Capital Work in Progress</v>
      </c>
      <c r="C34" s="19">
        <f>'Data Sheet'!B63/'Data Sheet'!B$66</f>
        <v>9.8482157662096018E-2</v>
      </c>
      <c r="D34" s="19">
        <f>'Data Sheet'!C63/'Data Sheet'!C$66</f>
        <v>0.12362900980833688</v>
      </c>
      <c r="E34" s="19">
        <f>'Data Sheet'!D63/'Data Sheet'!D$66</f>
        <v>0.12235483522646853</v>
      </c>
      <c r="F34" s="19">
        <f>'Data Sheet'!E63/'Data Sheet'!E$66</f>
        <v>0.1042966176146697</v>
      </c>
      <c r="G34" s="19">
        <f>'Data Sheet'!F63/'Data Sheet'!F$66</f>
        <v>0.11125728611076434</v>
      </c>
      <c r="H34" s="19">
        <f>'Data Sheet'!G63/'Data Sheet'!G$66</f>
        <v>6.137522476731045E-2</v>
      </c>
      <c r="I34" s="19">
        <f>'Data Sheet'!H63/'Data Sheet'!H$66</f>
        <v>3.1152505873598278E-2</v>
      </c>
      <c r="J34" s="19">
        <f>'Data Sheet'!I63/'Data Sheet'!I$66</f>
        <v>4.2651899041106903E-2</v>
      </c>
      <c r="K34" s="19">
        <f>'Data Sheet'!J63/'Data Sheet'!J$66</f>
        <v>9.6606146876632187E-2</v>
      </c>
      <c r="L34" s="19">
        <f>'Data Sheet'!K63/'Data Sheet'!K$66</f>
        <v>0.17456422608515729</v>
      </c>
    </row>
    <row r="35" spans="2:12" x14ac:dyDescent="0.3">
      <c r="B35" s="44" t="str">
        <f>'Data Sheet'!A64</f>
        <v>Investments</v>
      </c>
      <c r="C35" s="19">
        <f>'Data Sheet'!B64/'Data Sheet'!B$66</f>
        <v>9.0305676497502971E-2</v>
      </c>
      <c r="D35" s="19">
        <f>'Data Sheet'!C64/'Data Sheet'!C$66</f>
        <v>7.4612565630187005E-2</v>
      </c>
      <c r="E35" s="19">
        <f>'Data Sheet'!D64/'Data Sheet'!D$66</f>
        <v>6.3610241344366172E-2</v>
      </c>
      <c r="F35" s="19">
        <f>'Data Sheet'!E64/'Data Sheet'!E$66</f>
        <v>5.1588289031309388E-2</v>
      </c>
      <c r="G35" s="19">
        <f>'Data Sheet'!F64/'Data Sheet'!F$66</f>
        <v>5.0935445907370862E-2</v>
      </c>
      <c r="H35" s="19">
        <f>'Data Sheet'!G64/'Data Sheet'!G$66</f>
        <v>7.207976838475029E-2</v>
      </c>
      <c r="I35" s="19">
        <f>'Data Sheet'!H64/'Data Sheet'!H$66</f>
        <v>8.928279635517361E-2</v>
      </c>
      <c r="J35" s="19">
        <f>'Data Sheet'!I64/'Data Sheet'!I$66</f>
        <v>7.8820362822460022E-2</v>
      </c>
      <c r="K35" s="19">
        <f>'Data Sheet'!J64/'Data Sheet'!J$66</f>
        <v>6.2164261300440303E-2</v>
      </c>
      <c r="L35" s="19">
        <f>'Data Sheet'!K64/'Data Sheet'!K$66</f>
        <v>9.4585023330583357E-2</v>
      </c>
    </row>
    <row r="36" spans="2:12" x14ac:dyDescent="0.3">
      <c r="B36" s="44" t="str">
        <f>'Data Sheet'!A65</f>
        <v>Other Assets</v>
      </c>
      <c r="C36" s="19">
        <f>HistoricalFS!C59/'Data Sheet'!B$66</f>
        <v>0.11239036762552386</v>
      </c>
      <c r="D36" s="19">
        <f>HistoricalFS!D59/'Data Sheet'!C$66</f>
        <v>0.13706335995740859</v>
      </c>
      <c r="E36" s="19">
        <f>HistoricalFS!E59/'Data Sheet'!D$66</f>
        <v>0.14757967199729119</v>
      </c>
      <c r="F36" s="19">
        <f>HistoricalFS!F59/'Data Sheet'!E$66</f>
        <v>0.1836934867835496</v>
      </c>
      <c r="G36" s="19">
        <f>HistoricalFS!G59/'Data Sheet'!F$66</f>
        <v>0.1836000124805035</v>
      </c>
      <c r="H36" s="19">
        <f>HistoricalFS!H59/'Data Sheet'!G$66</f>
        <v>0.18068910109792749</v>
      </c>
      <c r="I36" s="19">
        <f>HistoricalFS!I59/'Data Sheet'!H$66</f>
        <v>0.18909465826584576</v>
      </c>
      <c r="J36" s="19">
        <f>HistoricalFS!J59/'Data Sheet'!I$66</f>
        <v>0.20447361335612049</v>
      </c>
      <c r="K36" s="19">
        <f>HistoricalFS!K59/'Data Sheet'!J$66</f>
        <v>0.21384440938404042</v>
      </c>
      <c r="L36" s="19">
        <f>HistoricalFS!L59/'Data Sheet'!K$66</f>
        <v>0.15508537746735176</v>
      </c>
    </row>
    <row r="37" spans="2:12" x14ac:dyDescent="0.3">
      <c r="B37" s="44" t="str">
        <f>'Data Sheet'!A67</f>
        <v>Receivables</v>
      </c>
      <c r="C37" s="19">
        <f>'Data Sheet'!B67/'Data Sheet'!B$66</f>
        <v>5.1564319306195219E-2</v>
      </c>
      <c r="D37" s="19">
        <f>'Data Sheet'!C67/'Data Sheet'!C$66</f>
        <v>5.1638166447501938E-2</v>
      </c>
      <c r="E37" s="19">
        <f>'Data Sheet'!D67/'Data Sheet'!D$66</f>
        <v>6.0800115993123419E-2</v>
      </c>
      <c r="F37" s="19">
        <f>'Data Sheet'!E67/'Data Sheet'!E$66</f>
        <v>6.2139198999658127E-2</v>
      </c>
      <c r="G37" s="19">
        <f>'Data Sheet'!F67/'Data Sheet'!F$66</f>
        <v>3.4895094278241959E-2</v>
      </c>
      <c r="H37" s="19">
        <f>'Data Sheet'!G67/'Data Sheet'!G$66</f>
        <v>3.7120014464974392E-2</v>
      </c>
      <c r="I37" s="19">
        <f>'Data Sheet'!H67/'Data Sheet'!H$66</f>
        <v>3.7810927070195913E-2</v>
      </c>
      <c r="J37" s="19">
        <f>'Data Sheet'!I67/'Data Sheet'!I$66</f>
        <v>4.7024715930643397E-2</v>
      </c>
      <c r="K37" s="19">
        <f>'Data Sheet'!J67/'Data Sheet'!J$66</f>
        <v>4.5875606528451698E-2</v>
      </c>
      <c r="L37" s="19">
        <f>'Data Sheet'!K67/'Data Sheet'!K$66</f>
        <v>3.5143100434248606E-2</v>
      </c>
    </row>
    <row r="38" spans="2:12" x14ac:dyDescent="0.3">
      <c r="B38" s="44" t="str">
        <f>'Data Sheet'!A68</f>
        <v>Inventory</v>
      </c>
      <c r="C38" s="19">
        <f>'Data Sheet'!B68/'Data Sheet'!B$66</f>
        <v>0.12407940874244236</v>
      </c>
      <c r="D38" s="19">
        <f>'Data Sheet'!C68/'Data Sheet'!C$66</f>
        <v>0.12871547311772571</v>
      </c>
      <c r="E38" s="19">
        <f>'Data Sheet'!D68/'Data Sheet'!D$66</f>
        <v>0.12878571135383859</v>
      </c>
      <c r="F38" s="19">
        <f>'Data Sheet'!E68/'Data Sheet'!E$66</f>
        <v>0.12761951131143451</v>
      </c>
      <c r="G38" s="19">
        <f>'Data Sheet'!F68/'Data Sheet'!F$66</f>
        <v>0.11698716772494318</v>
      </c>
      <c r="H38" s="19">
        <f>'Data Sheet'!G68/'Data Sheet'!G$66</f>
        <v>0.1056550619461767</v>
      </c>
      <c r="I38" s="19">
        <f>'Data Sheet'!H68/'Data Sheet'!H$66</f>
        <v>0.1070934797019244</v>
      </c>
      <c r="J38" s="19">
        <f>'Data Sheet'!I68/'Data Sheet'!I$66</f>
        <v>0.12177622891596469</v>
      </c>
      <c r="K38" s="19">
        <f>'Data Sheet'!J68/'Data Sheet'!J$66</f>
        <v>0.12932417914002181</v>
      </c>
      <c r="L38" s="19">
        <f>'Data Sheet'!K68/'Data Sheet'!K$66</f>
        <v>0.12539094311794213</v>
      </c>
    </row>
    <row r="39" spans="2:12" x14ac:dyDescent="0.3">
      <c r="B39" s="44" t="str">
        <f>'Data Sheet'!A69</f>
        <v>Cash &amp; Bank</v>
      </c>
      <c r="C39" s="19">
        <f>'Data Sheet'!B69/'Data Sheet'!B$66</f>
        <v>0.11573798601526566</v>
      </c>
      <c r="D39" s="19">
        <f>'Data Sheet'!C69/'Data Sheet'!C$66</f>
        <v>0.13235685799226327</v>
      </c>
      <c r="E39" s="19">
        <f>'Data Sheet'!D69/'Data Sheet'!D$66</f>
        <v>0.10579088150158772</v>
      </c>
      <c r="F39" s="19">
        <f>'Data Sheet'!E69/'Data Sheet'!E$66</f>
        <v>0.10679897700873484</v>
      </c>
      <c r="G39" s="19">
        <f>'Data Sheet'!F69/'Data Sheet'!F$66</f>
        <v>0.10533772957715985</v>
      </c>
      <c r="H39" s="19">
        <f>'Data Sheet'!G69/'Data Sheet'!G$66</f>
        <v>0.13699233635656022</v>
      </c>
      <c r="I39" s="19">
        <f>'Data Sheet'!H69/'Data Sheet'!H$66</f>
        <v>0.12359146006419652</v>
      </c>
      <c r="J39" s="19">
        <f>'Data Sheet'!I69/'Data Sheet'!I$66</f>
        <v>0.11060169729728082</v>
      </c>
      <c r="K39" s="19">
        <f>'Data Sheet'!J69/'Data Sheet'!J$66</f>
        <v>0.1239631847716368</v>
      </c>
      <c r="L39" s="19">
        <f>'Data Sheet'!K69/'Data Sheet'!K$66</f>
        <v>0.10832075506733904</v>
      </c>
    </row>
    <row r="42" spans="2:12" x14ac:dyDescent="0.3">
      <c r="B42" s="44"/>
    </row>
    <row r="43" spans="2:12" x14ac:dyDescent="0.3">
      <c r="B43" s="44"/>
    </row>
    <row r="44" spans="2:12" x14ac:dyDescent="0.3">
      <c r="B44" s="44"/>
    </row>
  </sheetData>
  <mergeCells count="2">
    <mergeCell ref="B2:L2"/>
    <mergeCell ref="B23:L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69F-5274-4E69-A53C-D81628275E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5BA7-D301-44A2-97B1-60A0BE708E92}">
  <sheetPr>
    <tabColor theme="7" tint="-0.249977111117893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18" activePane="bottomRight" state="frozen"/>
      <selection activeCell="C4" sqref="C4"/>
      <selection pane="topRight" activeCell="C4" sqref="C4"/>
      <selection pane="bottomLeft" activeCell="C4" sqref="C4"/>
      <selection pane="bottomRight" activeCell="B18" sqref="B18"/>
    </sheetView>
  </sheetViews>
  <sheetFormatPr defaultColWidth="8.77734375" defaultRowHeight="14.4" x14ac:dyDescent="0.3"/>
  <cols>
    <col min="1" max="1" width="27.6640625" style="3" bestFit="1" customWidth="1"/>
    <col min="2" max="11" width="13.44140625" style="3" bestFit="1" customWidth="1"/>
    <col min="12" max="16384" width="8.77734375" style="3"/>
  </cols>
  <sheetData>
    <row r="1" spans="1:11" s="1" customFormat="1" x14ac:dyDescent="0.3">
      <c r="A1" s="1" t="s">
        <v>0</v>
      </c>
      <c r="B1" s="1" t="s">
        <v>33</v>
      </c>
      <c r="E1" s="48" t="str">
        <f>IF(B2&lt;&gt;B3, "A NEW VERSION OF THE WORKSHEET IS AVAILABLE", "")</f>
        <v/>
      </c>
      <c r="F1" s="48"/>
      <c r="G1" s="48"/>
      <c r="H1" s="48"/>
      <c r="I1" s="48"/>
      <c r="J1" s="48"/>
      <c r="K1" s="48"/>
    </row>
    <row r="2" spans="1:11" x14ac:dyDescent="0.3">
      <c r="A2" s="1" t="s">
        <v>31</v>
      </c>
      <c r="B2" s="3">
        <v>2.1</v>
      </c>
      <c r="E2" s="49" t="s">
        <v>21</v>
      </c>
      <c r="F2" s="49"/>
      <c r="G2" s="49"/>
      <c r="H2" s="49"/>
      <c r="I2" s="49"/>
      <c r="J2" s="49"/>
      <c r="K2" s="49"/>
    </row>
    <row r="3" spans="1:11" x14ac:dyDescent="0.3">
      <c r="A3" s="1" t="s">
        <v>32</v>
      </c>
      <c r="B3" s="3">
        <v>2.1</v>
      </c>
    </row>
    <row r="4" spans="1:11" x14ac:dyDescent="0.3">
      <c r="A4" s="1"/>
    </row>
    <row r="5" spans="1:11" x14ac:dyDescent="0.3">
      <c r="A5" s="1" t="s">
        <v>34</v>
      </c>
    </row>
    <row r="6" spans="1:11" x14ac:dyDescent="0.3">
      <c r="A6" s="3" t="s">
        <v>27</v>
      </c>
      <c r="B6" s="3">
        <f>IF(B9&gt;0, B9/B8, 0)</f>
        <v>368.11848996217634</v>
      </c>
    </row>
    <row r="7" spans="1:11" x14ac:dyDescent="0.3">
      <c r="A7" s="3" t="s">
        <v>16</v>
      </c>
      <c r="B7">
        <v>2</v>
      </c>
    </row>
    <row r="8" spans="1:11" x14ac:dyDescent="0.3">
      <c r="A8" s="3" t="s">
        <v>28</v>
      </c>
      <c r="B8">
        <v>687.4</v>
      </c>
    </row>
    <row r="9" spans="1:11" x14ac:dyDescent="0.3">
      <c r="A9" s="3" t="s">
        <v>44</v>
      </c>
      <c r="B9">
        <v>253044.65</v>
      </c>
    </row>
    <row r="15" spans="1:11" x14ac:dyDescent="0.3">
      <c r="A15" s="1" t="s">
        <v>22</v>
      </c>
    </row>
    <row r="16" spans="1:11" s="7" customFormat="1" x14ac:dyDescent="0.3">
      <c r="A16" s="6" t="s">
        <v>23</v>
      </c>
      <c r="B16" s="5">
        <v>42460</v>
      </c>
      <c r="C16" s="5">
        <v>42825</v>
      </c>
      <c r="D16" s="5">
        <v>43190</v>
      </c>
      <c r="E16" s="5">
        <v>43555</v>
      </c>
      <c r="F16" s="5">
        <v>43921</v>
      </c>
      <c r="G16" s="5">
        <v>44286</v>
      </c>
      <c r="H16" s="5">
        <v>44651</v>
      </c>
      <c r="I16" s="5">
        <v>45016</v>
      </c>
      <c r="J16" s="5">
        <v>45382</v>
      </c>
      <c r="K16" s="5">
        <v>45747</v>
      </c>
    </row>
    <row r="17" spans="1:11" s="4" customFormat="1" x14ac:dyDescent="0.3">
      <c r="A17" s="4" t="s">
        <v>1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4" customFormat="1" x14ac:dyDescent="0.3">
      <c r="A18" s="3" t="s">
        <v>45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4" customFormat="1" x14ac:dyDescent="0.3">
      <c r="A19" s="3" t="s">
        <v>46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4" customFormat="1" x14ac:dyDescent="0.3">
      <c r="A20" s="3" t="s">
        <v>47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4" customFormat="1" x14ac:dyDescent="0.3">
      <c r="A21" s="3" t="s">
        <v>48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4" customFormat="1" x14ac:dyDescent="0.3">
      <c r="A22" s="3" t="s">
        <v>49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4" customFormat="1" x14ac:dyDescent="0.3">
      <c r="A23" s="3" t="s">
        <v>50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4" customFormat="1" x14ac:dyDescent="0.3">
      <c r="A24" s="3" t="s">
        <v>51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4" customFormat="1" x14ac:dyDescent="0.3">
      <c r="A25" s="4" t="s">
        <v>4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4" customFormat="1" x14ac:dyDescent="0.3">
      <c r="A26" s="4" t="s">
        <v>5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4" customFormat="1" x14ac:dyDescent="0.3">
      <c r="A27" s="4" t="s">
        <v>6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4" customFormat="1" x14ac:dyDescent="0.3">
      <c r="A28" s="4" t="s">
        <v>7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4" customFormat="1" x14ac:dyDescent="0.3">
      <c r="A29" s="4" t="s">
        <v>8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4" customFormat="1" x14ac:dyDescent="0.3">
      <c r="A30" s="4" t="s">
        <v>9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4" customFormat="1" x14ac:dyDescent="0.3">
      <c r="A31" s="4" t="s">
        <v>35</v>
      </c>
      <c r="B31">
        <v>67.92</v>
      </c>
      <c r="I31">
        <v>766.02</v>
      </c>
      <c r="J31">
        <v>2301</v>
      </c>
      <c r="K31">
        <v>2208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24</v>
      </c>
    </row>
    <row r="41" spans="1:11" s="7" customFormat="1" x14ac:dyDescent="0.3">
      <c r="A41" s="6" t="s">
        <v>23</v>
      </c>
      <c r="B41" s="5">
        <v>44926</v>
      </c>
      <c r="C41" s="5">
        <v>45016</v>
      </c>
      <c r="D41" s="5">
        <v>45107</v>
      </c>
      <c r="E41" s="5">
        <v>45199</v>
      </c>
      <c r="F41" s="5">
        <v>45291</v>
      </c>
      <c r="G41" s="5">
        <v>45382</v>
      </c>
      <c r="H41" s="5">
        <v>45473</v>
      </c>
      <c r="I41" s="5">
        <v>45565</v>
      </c>
      <c r="J41" s="5">
        <v>45657</v>
      </c>
      <c r="K41" s="5">
        <v>45747</v>
      </c>
    </row>
    <row r="42" spans="1:11" s="4" customFormat="1" x14ac:dyDescent="0.3">
      <c r="A42" s="4" t="s">
        <v>1</v>
      </c>
      <c r="B42">
        <v>88488.59</v>
      </c>
      <c r="C42">
        <v>105932.35</v>
      </c>
      <c r="D42">
        <v>102236</v>
      </c>
      <c r="E42">
        <v>105129</v>
      </c>
      <c r="F42">
        <v>110577</v>
      </c>
      <c r="G42">
        <v>119033</v>
      </c>
      <c r="H42">
        <v>108048</v>
      </c>
      <c r="I42">
        <v>101450</v>
      </c>
      <c r="J42">
        <v>112608</v>
      </c>
      <c r="K42">
        <v>119503</v>
      </c>
    </row>
    <row r="43" spans="1:11" s="4" customFormat="1" x14ac:dyDescent="0.3">
      <c r="A43" s="4" t="s">
        <v>2</v>
      </c>
      <c r="B43">
        <v>77668.350000000006</v>
      </c>
      <c r="C43">
        <v>92817.95</v>
      </c>
      <c r="D43">
        <v>89019</v>
      </c>
      <c r="E43">
        <v>91362</v>
      </c>
      <c r="F43">
        <v>95159</v>
      </c>
      <c r="G43">
        <v>102348</v>
      </c>
      <c r="H43">
        <v>92263</v>
      </c>
      <c r="I43">
        <v>89291</v>
      </c>
      <c r="J43">
        <v>100185</v>
      </c>
      <c r="K43">
        <v>102685</v>
      </c>
    </row>
    <row r="44" spans="1:11" s="4" customFormat="1" x14ac:dyDescent="0.3">
      <c r="A44" s="4" t="s">
        <v>4</v>
      </c>
      <c r="B44">
        <v>1129.98</v>
      </c>
      <c r="C44">
        <v>1452.86</v>
      </c>
      <c r="D44">
        <v>895</v>
      </c>
      <c r="E44">
        <v>1557</v>
      </c>
      <c r="F44">
        <v>1604</v>
      </c>
      <c r="G44">
        <v>1412</v>
      </c>
      <c r="H44">
        <v>1747</v>
      </c>
      <c r="I44">
        <v>1647</v>
      </c>
      <c r="J44">
        <v>1700</v>
      </c>
      <c r="K44">
        <v>1057</v>
      </c>
    </row>
    <row r="45" spans="1:11" s="4" customFormat="1" x14ac:dyDescent="0.3">
      <c r="A45" s="4" t="s">
        <v>5</v>
      </c>
      <c r="B45">
        <v>6071.78</v>
      </c>
      <c r="C45">
        <v>7050.2</v>
      </c>
      <c r="D45">
        <v>6633</v>
      </c>
      <c r="E45">
        <v>6637</v>
      </c>
      <c r="F45">
        <v>6850</v>
      </c>
      <c r="G45">
        <v>7143</v>
      </c>
      <c r="H45">
        <v>6574</v>
      </c>
      <c r="I45">
        <v>6005</v>
      </c>
      <c r="J45">
        <v>5399</v>
      </c>
      <c r="K45">
        <v>5295</v>
      </c>
    </row>
    <row r="46" spans="1:11" s="4" customFormat="1" x14ac:dyDescent="0.3">
      <c r="A46" s="4" t="s">
        <v>6</v>
      </c>
      <c r="B46">
        <v>2675.83</v>
      </c>
      <c r="C46">
        <v>2641.67</v>
      </c>
      <c r="D46">
        <v>2615</v>
      </c>
      <c r="E46">
        <v>2652</v>
      </c>
      <c r="F46">
        <v>2485</v>
      </c>
      <c r="G46">
        <v>1645</v>
      </c>
      <c r="H46">
        <v>2088</v>
      </c>
      <c r="I46">
        <v>2034</v>
      </c>
      <c r="J46">
        <v>1119</v>
      </c>
      <c r="K46">
        <v>1076</v>
      </c>
    </row>
    <row r="47" spans="1:11" s="4" customFormat="1" x14ac:dyDescent="0.3">
      <c r="A47" s="4" t="s">
        <v>7</v>
      </c>
      <c r="B47">
        <v>3202.61</v>
      </c>
      <c r="C47">
        <v>4875.3900000000003</v>
      </c>
      <c r="D47">
        <v>4864</v>
      </c>
      <c r="E47">
        <v>6035</v>
      </c>
      <c r="F47">
        <v>7687</v>
      </c>
      <c r="G47">
        <v>9309</v>
      </c>
      <c r="H47">
        <v>8870</v>
      </c>
      <c r="I47">
        <v>5767</v>
      </c>
      <c r="J47">
        <v>7605</v>
      </c>
      <c r="K47">
        <v>11504</v>
      </c>
    </row>
    <row r="48" spans="1:11" s="4" customFormat="1" x14ac:dyDescent="0.3">
      <c r="A48" s="4" t="s">
        <v>8</v>
      </c>
      <c r="B48">
        <v>262.83</v>
      </c>
      <c r="C48">
        <v>-620.65</v>
      </c>
      <c r="D48">
        <v>1563</v>
      </c>
      <c r="E48">
        <v>2203</v>
      </c>
      <c r="F48">
        <v>542</v>
      </c>
      <c r="G48">
        <v>-8219</v>
      </c>
      <c r="H48">
        <v>3178</v>
      </c>
      <c r="I48">
        <v>2317</v>
      </c>
      <c r="J48">
        <v>2120</v>
      </c>
      <c r="K48">
        <v>2948</v>
      </c>
    </row>
    <row r="49" spans="1:11" s="4" customFormat="1" x14ac:dyDescent="0.3">
      <c r="A49" s="4" t="s">
        <v>9</v>
      </c>
      <c r="B49">
        <v>2957.71</v>
      </c>
      <c r="C49">
        <v>5407.79</v>
      </c>
      <c r="D49">
        <v>3203</v>
      </c>
      <c r="E49">
        <v>3764</v>
      </c>
      <c r="F49">
        <v>7025</v>
      </c>
      <c r="G49">
        <v>17407</v>
      </c>
      <c r="H49">
        <v>5566</v>
      </c>
      <c r="I49">
        <v>3343</v>
      </c>
      <c r="J49">
        <v>5406</v>
      </c>
      <c r="K49">
        <v>8470</v>
      </c>
    </row>
    <row r="50" spans="1:11" x14ac:dyDescent="0.3">
      <c r="A50" s="4" t="s">
        <v>3</v>
      </c>
      <c r="B50">
        <v>10820.24</v>
      </c>
      <c r="C50">
        <v>13114.4</v>
      </c>
      <c r="D50">
        <v>13217</v>
      </c>
      <c r="E50">
        <v>13767</v>
      </c>
      <c r="F50">
        <v>15418</v>
      </c>
      <c r="G50">
        <v>16685</v>
      </c>
      <c r="H50">
        <v>15785</v>
      </c>
      <c r="I50">
        <v>12159</v>
      </c>
      <c r="J50">
        <v>12423</v>
      </c>
      <c r="K50">
        <v>16818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25</v>
      </c>
    </row>
    <row r="56" spans="1:11" s="7" customFormat="1" x14ac:dyDescent="0.3">
      <c r="A56" s="6" t="s">
        <v>23</v>
      </c>
      <c r="B56" s="5">
        <v>42460</v>
      </c>
      <c r="C56" s="5">
        <v>42825</v>
      </c>
      <c r="D56" s="5">
        <v>43190</v>
      </c>
      <c r="E56" s="5">
        <v>43555</v>
      </c>
      <c r="F56" s="5">
        <v>43921</v>
      </c>
      <c r="G56" s="5">
        <v>44286</v>
      </c>
      <c r="H56" s="5">
        <v>44651</v>
      </c>
      <c r="I56" s="5">
        <v>45016</v>
      </c>
      <c r="J56" s="5">
        <v>45382</v>
      </c>
      <c r="K56" s="5">
        <v>45747</v>
      </c>
    </row>
    <row r="57" spans="1:11" x14ac:dyDescent="0.3">
      <c r="A57" s="4" t="s">
        <v>10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4" t="s">
        <v>11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4" t="s">
        <v>36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4" t="s">
        <v>37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12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4" t="s">
        <v>13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4" t="s">
        <v>14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4" t="s">
        <v>15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4" t="s">
        <v>38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12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4" customFormat="1" x14ac:dyDescent="0.3">
      <c r="A67" s="4" t="s">
        <v>43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4" t="s">
        <v>29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3" t="s">
        <v>52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3" t="s">
        <v>39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3" t="s">
        <v>40</v>
      </c>
    </row>
    <row r="72" spans="1:11" x14ac:dyDescent="0.3">
      <c r="A72" s="3" t="s">
        <v>53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26</v>
      </c>
    </row>
    <row r="81" spans="1:11" s="7" customFormat="1" x14ac:dyDescent="0.3">
      <c r="A81" s="6" t="s">
        <v>23</v>
      </c>
      <c r="B81" s="5">
        <v>42460</v>
      </c>
      <c r="C81" s="5">
        <v>42825</v>
      </c>
      <c r="D81" s="5">
        <v>43190</v>
      </c>
      <c r="E81" s="5">
        <v>43555</v>
      </c>
      <c r="F81" s="5">
        <v>43921</v>
      </c>
      <c r="G81" s="5">
        <v>44286</v>
      </c>
      <c r="H81" s="5">
        <v>44651</v>
      </c>
      <c r="I81" s="5">
        <v>45016</v>
      </c>
      <c r="J81" s="5">
        <v>45382</v>
      </c>
      <c r="K81" s="5">
        <v>45747</v>
      </c>
    </row>
    <row r="82" spans="1:11" s="1" customFormat="1" x14ac:dyDescent="0.3">
      <c r="A82" s="4" t="s">
        <v>17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4" customFormat="1" x14ac:dyDescent="0.3">
      <c r="A83" s="4" t="s">
        <v>18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4" customFormat="1" x14ac:dyDescent="0.3">
      <c r="A84" s="4" t="s">
        <v>19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4" t="s">
        <v>20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42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41</v>
      </c>
    </row>
    <row r="93" spans="1:11" x14ac:dyDescent="0.3">
      <c r="A93" s="3" t="s">
        <v>54</v>
      </c>
      <c r="B93" s="8">
        <v>288.72000000000003</v>
      </c>
      <c r="C93" s="8">
        <v>288.73</v>
      </c>
      <c r="D93" s="8">
        <v>288.73</v>
      </c>
      <c r="E93" s="8">
        <v>288.73</v>
      </c>
      <c r="F93" s="8">
        <v>308.89999999999998</v>
      </c>
      <c r="G93" s="8">
        <v>332.03</v>
      </c>
      <c r="H93" s="8">
        <v>332.07</v>
      </c>
      <c r="I93" s="8">
        <v>332.13</v>
      </c>
      <c r="J93" s="8">
        <v>332.37</v>
      </c>
      <c r="K93" s="8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817B-A275-480C-9929-27665A63A3DA}">
  <dimension ref="B1:N33"/>
  <sheetViews>
    <sheetView zoomScaleNormal="100" workbookViewId="0">
      <selection activeCell="B1" sqref="B1"/>
    </sheetView>
  </sheetViews>
  <sheetFormatPr defaultRowHeight="14.4" x14ac:dyDescent="0.3"/>
  <cols>
    <col min="2" max="2" width="25.77734375" bestFit="1" customWidth="1"/>
    <col min="3" max="8" width="7.109375" bestFit="1" customWidth="1"/>
    <col min="9" max="9" width="7.109375" customWidth="1"/>
    <col min="10" max="14" width="7.109375" bestFit="1" customWidth="1"/>
  </cols>
  <sheetData>
    <row r="1" spans="2:14" ht="15.6" x14ac:dyDescent="0.3">
      <c r="B1" s="46" t="str">
        <f>'Data Sheet'!B1</f>
        <v>TATA MOTORS LTD</v>
      </c>
    </row>
    <row r="2" spans="2:14" x14ac:dyDescent="0.3">
      <c r="C2" s="9">
        <v>41699</v>
      </c>
      <c r="D2" s="9">
        <v>42064</v>
      </c>
      <c r="E2" s="9">
        <v>42430</v>
      </c>
      <c r="F2" s="9">
        <v>42795</v>
      </c>
      <c r="G2" s="9">
        <v>43160</v>
      </c>
      <c r="H2" s="9">
        <v>43525</v>
      </c>
      <c r="I2" s="9">
        <v>43891</v>
      </c>
      <c r="J2" s="9">
        <v>44256</v>
      </c>
      <c r="K2" s="9">
        <v>44621</v>
      </c>
      <c r="L2" s="9">
        <v>44986</v>
      </c>
      <c r="M2" s="9">
        <v>45352</v>
      </c>
      <c r="N2" s="9">
        <v>45717</v>
      </c>
    </row>
    <row r="3" spans="2:14" x14ac:dyDescent="0.3">
      <c r="B3" t="s">
        <v>86</v>
      </c>
      <c r="C3" s="22">
        <v>36151</v>
      </c>
      <c r="D3" s="22">
        <v>35531</v>
      </c>
      <c r="E3" s="22">
        <v>37900</v>
      </c>
      <c r="F3" s="22">
        <v>30199</v>
      </c>
      <c r="G3" s="22">
        <v>23857</v>
      </c>
      <c r="H3" s="22">
        <v>18891</v>
      </c>
      <c r="I3" s="22">
        <v>26633</v>
      </c>
      <c r="J3" s="22">
        <v>29001</v>
      </c>
      <c r="K3" s="22">
        <v>14283</v>
      </c>
      <c r="L3" s="22">
        <v>35388</v>
      </c>
      <c r="M3" s="22">
        <v>67915</v>
      </c>
      <c r="N3" s="22">
        <v>63102</v>
      </c>
    </row>
    <row r="4" spans="2:14" x14ac:dyDescent="0.3">
      <c r="B4" t="s">
        <v>87</v>
      </c>
      <c r="C4" s="22">
        <v>36303</v>
      </c>
      <c r="D4" s="22">
        <v>43397</v>
      </c>
      <c r="E4" s="22">
        <v>38626</v>
      </c>
      <c r="F4" s="22">
        <v>28840</v>
      </c>
      <c r="G4" s="22">
        <v>33312</v>
      </c>
      <c r="H4" s="22">
        <v>28771</v>
      </c>
      <c r="I4" s="22">
        <v>23352</v>
      </c>
      <c r="J4" s="22">
        <v>31198</v>
      </c>
      <c r="K4" s="22">
        <v>26943</v>
      </c>
      <c r="L4" s="22">
        <v>41694</v>
      </c>
      <c r="M4" s="22">
        <v>65106</v>
      </c>
      <c r="N4" s="22">
        <v>58937</v>
      </c>
    </row>
    <row r="5" spans="2:14" x14ac:dyDescent="0.3">
      <c r="B5" t="s">
        <v>43</v>
      </c>
      <c r="C5">
        <v>445</v>
      </c>
      <c r="D5" s="22">
        <v>-3179</v>
      </c>
      <c r="E5" s="22">
        <v>-2223</v>
      </c>
      <c r="F5" s="22">
        <v>-4152</v>
      </c>
      <c r="G5" s="22">
        <v>-10688</v>
      </c>
      <c r="H5" s="22">
        <v>-9109</v>
      </c>
      <c r="I5" s="22">
        <v>9950</v>
      </c>
      <c r="J5" s="22">
        <v>-5505</v>
      </c>
      <c r="K5">
        <v>185</v>
      </c>
      <c r="L5" s="22">
        <v>-2213</v>
      </c>
      <c r="M5" s="22">
        <v>-1876</v>
      </c>
      <c r="N5" s="22">
        <v>3573</v>
      </c>
    </row>
    <row r="6" spans="2:14" x14ac:dyDescent="0.3">
      <c r="B6" t="s">
        <v>29</v>
      </c>
      <c r="C6" s="22">
        <v>-2853</v>
      </c>
      <c r="D6" s="22">
        <v>-3692</v>
      </c>
      <c r="E6" s="22">
        <v>-5743</v>
      </c>
      <c r="F6" s="22">
        <v>-6621</v>
      </c>
      <c r="G6" s="22">
        <v>-3560</v>
      </c>
      <c r="H6" s="22">
        <v>2069</v>
      </c>
      <c r="I6" s="22">
        <v>2326</v>
      </c>
      <c r="J6" s="22">
        <v>3814</v>
      </c>
      <c r="K6">
        <v>472</v>
      </c>
      <c r="L6" s="22">
        <v>-5665</v>
      </c>
      <c r="M6" s="22">
        <v>-7265</v>
      </c>
      <c r="N6" s="22">
        <v>2127</v>
      </c>
    </row>
    <row r="7" spans="2:14" x14ac:dyDescent="0.3">
      <c r="B7" t="s">
        <v>88</v>
      </c>
      <c r="C7" s="22">
        <v>4694</v>
      </c>
      <c r="D7" s="22">
        <v>3598</v>
      </c>
      <c r="E7" s="22">
        <v>3947</v>
      </c>
      <c r="F7" s="22">
        <v>9301</v>
      </c>
      <c r="G7" s="22">
        <v>7320</v>
      </c>
      <c r="H7" s="22">
        <v>-4692</v>
      </c>
      <c r="I7" s="22">
        <v>-8085</v>
      </c>
      <c r="J7" s="22">
        <v>5748</v>
      </c>
      <c r="K7" s="22">
        <v>-7012</v>
      </c>
      <c r="L7" s="22">
        <v>6945</v>
      </c>
      <c r="M7" s="22">
        <v>13706</v>
      </c>
      <c r="N7" s="22">
        <v>1303</v>
      </c>
    </row>
    <row r="8" spans="2:14" x14ac:dyDescent="0.3">
      <c r="B8" t="s">
        <v>89</v>
      </c>
      <c r="C8">
        <v>0</v>
      </c>
      <c r="D8">
        <v>0</v>
      </c>
      <c r="E8">
        <v>-520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90</v>
      </c>
      <c r="C9" s="22">
        <v>1870</v>
      </c>
      <c r="D9">
        <v>-398</v>
      </c>
      <c r="E9" s="22">
        <v>5852</v>
      </c>
      <c r="F9" s="22">
        <v>4727</v>
      </c>
      <c r="G9">
        <v>494</v>
      </c>
      <c r="H9" s="22">
        <v>4512</v>
      </c>
      <c r="I9">
        <v>875</v>
      </c>
      <c r="J9" s="22">
        <v>-4150</v>
      </c>
      <c r="K9" s="22">
        <v>-4396</v>
      </c>
      <c r="L9" s="22">
        <v>-2194</v>
      </c>
      <c r="M9" s="22">
        <v>2760</v>
      </c>
      <c r="N9" s="22">
        <v>1153</v>
      </c>
    </row>
    <row r="10" spans="2:14" x14ac:dyDescent="0.3">
      <c r="B10" t="s">
        <v>91</v>
      </c>
      <c r="C10" s="22">
        <v>4157</v>
      </c>
      <c r="D10" s="22">
        <v>-3672</v>
      </c>
      <c r="E10" s="22">
        <v>1313</v>
      </c>
      <c r="F10" s="22">
        <v>3254</v>
      </c>
      <c r="G10" s="22">
        <v>-6434</v>
      </c>
      <c r="H10" s="22">
        <v>-7221</v>
      </c>
      <c r="I10" s="22">
        <v>5065</v>
      </c>
      <c r="J10">
        <v>-93</v>
      </c>
      <c r="K10" s="22">
        <v>-10750</v>
      </c>
      <c r="L10" s="22">
        <v>-3127</v>
      </c>
      <c r="M10" s="22">
        <v>7325</v>
      </c>
      <c r="N10" s="22">
        <v>8156</v>
      </c>
    </row>
    <row r="11" spans="2:14" x14ac:dyDescent="0.3">
      <c r="B11" t="s">
        <v>92</v>
      </c>
      <c r="C11" s="22">
        <v>-4308</v>
      </c>
      <c r="D11" s="22">
        <v>-4194</v>
      </c>
      <c r="E11" s="22">
        <v>-2040</v>
      </c>
      <c r="F11" s="22">
        <v>-1895</v>
      </c>
      <c r="G11" s="22">
        <v>-3021</v>
      </c>
      <c r="H11" s="22">
        <v>-2659</v>
      </c>
      <c r="I11" s="22">
        <v>-1785</v>
      </c>
      <c r="J11" s="22">
        <v>-2105</v>
      </c>
      <c r="K11" s="22">
        <v>-1910</v>
      </c>
      <c r="L11" s="22">
        <v>-3179</v>
      </c>
      <c r="M11" s="22">
        <v>-4516</v>
      </c>
      <c r="N11" s="22">
        <v>-3991</v>
      </c>
    </row>
    <row r="12" spans="2:14" x14ac:dyDescent="0.3">
      <c r="B12" t="s">
        <v>93</v>
      </c>
      <c r="C12" s="22">
        <v>-27991</v>
      </c>
      <c r="D12" s="22">
        <v>-36232</v>
      </c>
      <c r="E12" s="22">
        <v>-36694</v>
      </c>
      <c r="F12" s="22">
        <v>-39571</v>
      </c>
      <c r="G12" s="22">
        <v>-25139</v>
      </c>
      <c r="H12" s="22">
        <v>-20878</v>
      </c>
      <c r="I12" s="22">
        <v>-33115</v>
      </c>
      <c r="J12" s="22">
        <v>-25672</v>
      </c>
      <c r="K12" s="22">
        <v>-4444</v>
      </c>
      <c r="L12" s="22">
        <v>-15417</v>
      </c>
      <c r="M12" s="22">
        <v>-22781</v>
      </c>
      <c r="N12" s="22">
        <v>-49982</v>
      </c>
    </row>
    <row r="13" spans="2:14" x14ac:dyDescent="0.3">
      <c r="B13" t="s">
        <v>94</v>
      </c>
      <c r="C13" s="22">
        <v>-26975</v>
      </c>
      <c r="D13" s="22">
        <v>-31962</v>
      </c>
      <c r="E13" s="22">
        <v>-31503</v>
      </c>
      <c r="F13" s="22">
        <v>-16072</v>
      </c>
      <c r="G13" s="22">
        <v>-35079</v>
      </c>
      <c r="H13" s="22">
        <v>-35304</v>
      </c>
      <c r="I13" s="22">
        <v>-29702</v>
      </c>
      <c r="J13" s="22">
        <v>-20205</v>
      </c>
      <c r="K13" s="22">
        <v>-15168</v>
      </c>
      <c r="L13" s="22">
        <v>-19230</v>
      </c>
      <c r="M13" s="22">
        <v>-31414</v>
      </c>
      <c r="N13" s="22">
        <v>-38042</v>
      </c>
    </row>
    <row r="14" spans="2:14" x14ac:dyDescent="0.3">
      <c r="B14" t="s">
        <v>95</v>
      </c>
      <c r="C14">
        <v>50</v>
      </c>
      <c r="D14">
        <v>74</v>
      </c>
      <c r="E14">
        <v>59</v>
      </c>
      <c r="F14">
        <v>53</v>
      </c>
      <c r="G14">
        <v>30</v>
      </c>
      <c r="H14">
        <v>67</v>
      </c>
      <c r="I14">
        <v>171</v>
      </c>
      <c r="J14">
        <v>351</v>
      </c>
      <c r="K14">
        <v>230</v>
      </c>
      <c r="L14">
        <v>285</v>
      </c>
      <c r="M14">
        <v>231</v>
      </c>
      <c r="N14">
        <v>974</v>
      </c>
    </row>
    <row r="15" spans="2:14" x14ac:dyDescent="0.3">
      <c r="B15" t="s">
        <v>96</v>
      </c>
      <c r="C15">
        <v>-429</v>
      </c>
      <c r="D15" s="22">
        <v>-5461</v>
      </c>
      <c r="E15" s="22">
        <v>-4728</v>
      </c>
      <c r="F15">
        <v>-6</v>
      </c>
      <c r="G15">
        <v>-329</v>
      </c>
      <c r="H15">
        <v>-130</v>
      </c>
      <c r="I15" s="22">
        <v>-1439</v>
      </c>
      <c r="J15" s="22">
        <v>-7530</v>
      </c>
      <c r="K15" s="22">
        <v>-3008</v>
      </c>
      <c r="L15">
        <v>-50</v>
      </c>
      <c r="M15">
        <v>-74</v>
      </c>
      <c r="N15" s="22">
        <v>-12677</v>
      </c>
    </row>
    <row r="16" spans="2:14" x14ac:dyDescent="0.3">
      <c r="B16" t="s">
        <v>97</v>
      </c>
      <c r="C16">
        <v>4</v>
      </c>
      <c r="D16">
        <v>42</v>
      </c>
      <c r="E16">
        <v>89</v>
      </c>
      <c r="F16" s="22">
        <v>1965</v>
      </c>
      <c r="G16" s="22">
        <v>2381</v>
      </c>
      <c r="H16" s="22">
        <v>5644</v>
      </c>
      <c r="I16">
        <v>21</v>
      </c>
      <c r="J16">
        <v>226</v>
      </c>
      <c r="K16">
        <v>104</v>
      </c>
      <c r="L16" s="22">
        <v>6895</v>
      </c>
      <c r="M16" s="22">
        <v>10821</v>
      </c>
      <c r="N16">
        <v>111</v>
      </c>
    </row>
    <row r="17" spans="2:14" x14ac:dyDescent="0.3">
      <c r="B17" t="s">
        <v>98</v>
      </c>
      <c r="C17">
        <v>653</v>
      </c>
      <c r="D17">
        <v>698</v>
      </c>
      <c r="E17">
        <v>731</v>
      </c>
      <c r="F17">
        <v>638</v>
      </c>
      <c r="G17">
        <v>690</v>
      </c>
      <c r="H17">
        <v>761</v>
      </c>
      <c r="I17" s="22">
        <v>1104</v>
      </c>
      <c r="J17">
        <v>428</v>
      </c>
      <c r="K17">
        <v>653</v>
      </c>
      <c r="L17">
        <v>973</v>
      </c>
      <c r="M17" s="22">
        <v>2493</v>
      </c>
      <c r="N17" s="22">
        <v>2420</v>
      </c>
    </row>
    <row r="18" spans="2:14" x14ac:dyDescent="0.3">
      <c r="B18" t="s">
        <v>99</v>
      </c>
      <c r="C18">
        <v>40</v>
      </c>
      <c r="D18">
        <v>80</v>
      </c>
      <c r="E18">
        <v>58</v>
      </c>
      <c r="F18">
        <v>620</v>
      </c>
      <c r="G18" s="22">
        <v>1797</v>
      </c>
      <c r="H18">
        <v>232</v>
      </c>
      <c r="I18">
        <v>21</v>
      </c>
      <c r="J18">
        <v>18</v>
      </c>
      <c r="K18">
        <v>32</v>
      </c>
      <c r="L18">
        <v>46</v>
      </c>
      <c r="M18">
        <v>47</v>
      </c>
      <c r="N18">
        <v>64</v>
      </c>
    </row>
    <row r="19" spans="2:14" x14ac:dyDescent="0.3">
      <c r="B19" t="s">
        <v>100</v>
      </c>
      <c r="C19">
        <v>0</v>
      </c>
      <c r="D19">
        <v>-160</v>
      </c>
      <c r="E19">
        <v>0</v>
      </c>
      <c r="F19">
        <v>-107</v>
      </c>
      <c r="G19">
        <v>-4</v>
      </c>
      <c r="H19">
        <v>-9</v>
      </c>
      <c r="I19">
        <v>-606</v>
      </c>
      <c r="J19">
        <v>-10</v>
      </c>
      <c r="K19">
        <v>0</v>
      </c>
      <c r="L19">
        <v>0</v>
      </c>
      <c r="M19">
        <v>-150</v>
      </c>
      <c r="N19">
        <v>0</v>
      </c>
    </row>
    <row r="20" spans="2:14" x14ac:dyDescent="0.3">
      <c r="B20" t="s">
        <v>101</v>
      </c>
      <c r="C20">
        <v>0</v>
      </c>
      <c r="D20">
        <v>0</v>
      </c>
      <c r="E20">
        <v>0</v>
      </c>
      <c r="F20">
        <v>0</v>
      </c>
      <c r="G20">
        <v>14</v>
      </c>
      <c r="H20">
        <v>533</v>
      </c>
      <c r="I20">
        <v>0</v>
      </c>
      <c r="J20">
        <v>0</v>
      </c>
      <c r="K20">
        <v>0</v>
      </c>
      <c r="L20">
        <v>19</v>
      </c>
      <c r="M20">
        <v>107</v>
      </c>
      <c r="N20">
        <v>765</v>
      </c>
    </row>
    <row r="21" spans="2:14" x14ac:dyDescent="0.3">
      <c r="B21" t="s">
        <v>102</v>
      </c>
      <c r="C21">
        <v>-185</v>
      </c>
      <c r="D21">
        <v>0</v>
      </c>
      <c r="E21">
        <v>-111</v>
      </c>
      <c r="F21">
        <v>0</v>
      </c>
      <c r="G21">
        <v>0</v>
      </c>
      <c r="H21">
        <v>-8</v>
      </c>
      <c r="I21">
        <v>-27</v>
      </c>
      <c r="J21">
        <v>0</v>
      </c>
      <c r="K21">
        <v>-98</v>
      </c>
      <c r="L21">
        <v>0</v>
      </c>
      <c r="M21">
        <v>0</v>
      </c>
      <c r="N21">
        <v>-688</v>
      </c>
    </row>
    <row r="22" spans="2:14" x14ac:dyDescent="0.3">
      <c r="B22" t="s">
        <v>103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-25</v>
      </c>
      <c r="N22">
        <v>-20</v>
      </c>
    </row>
    <row r="23" spans="2:14" x14ac:dyDescent="0.3">
      <c r="B23" t="s">
        <v>104</v>
      </c>
      <c r="C23" s="22">
        <v>-1149</v>
      </c>
      <c r="D23">
        <v>456</v>
      </c>
      <c r="E23" s="22">
        <v>-1289</v>
      </c>
      <c r="F23" s="22">
        <v>-26663</v>
      </c>
      <c r="G23" s="22">
        <v>5360</v>
      </c>
      <c r="H23" s="22">
        <v>7335</v>
      </c>
      <c r="I23" s="22">
        <v>-2659</v>
      </c>
      <c r="J23" s="22">
        <v>1051</v>
      </c>
      <c r="K23" s="22">
        <v>12813</v>
      </c>
      <c r="L23" s="22">
        <v>-4357</v>
      </c>
      <c r="M23" s="22">
        <v>-4817</v>
      </c>
      <c r="N23" s="22">
        <v>-2889</v>
      </c>
    </row>
    <row r="24" spans="2:14" x14ac:dyDescent="0.3">
      <c r="B24" t="s">
        <v>105</v>
      </c>
      <c r="C24" s="22">
        <v>-3883</v>
      </c>
      <c r="D24" s="22">
        <v>5201</v>
      </c>
      <c r="E24" s="22">
        <v>-3795</v>
      </c>
      <c r="F24" s="22">
        <v>6205</v>
      </c>
      <c r="G24" s="22">
        <v>2012</v>
      </c>
      <c r="H24" s="22">
        <v>8830</v>
      </c>
      <c r="I24" s="22">
        <v>3390</v>
      </c>
      <c r="J24" s="22">
        <v>9904</v>
      </c>
      <c r="K24" s="22">
        <v>-3380</v>
      </c>
      <c r="L24" s="22">
        <v>-26243</v>
      </c>
      <c r="M24" s="22">
        <v>-37006</v>
      </c>
      <c r="N24" s="22">
        <v>-18786</v>
      </c>
    </row>
    <row r="25" spans="2:14" x14ac:dyDescent="0.3">
      <c r="B25" t="s">
        <v>106</v>
      </c>
      <c r="C25">
        <v>0</v>
      </c>
      <c r="D25">
        <v>0</v>
      </c>
      <c r="E25" s="22">
        <v>7433</v>
      </c>
      <c r="F25">
        <v>5</v>
      </c>
      <c r="G25">
        <v>0</v>
      </c>
      <c r="H25">
        <v>0</v>
      </c>
      <c r="I25" s="22">
        <v>3889</v>
      </c>
      <c r="J25" s="22">
        <v>2603</v>
      </c>
      <c r="K25">
        <v>19</v>
      </c>
      <c r="L25">
        <v>20</v>
      </c>
      <c r="M25">
        <v>82</v>
      </c>
      <c r="N25" s="22">
        <v>1108</v>
      </c>
    </row>
    <row r="26" spans="2:14" x14ac:dyDescent="0.3">
      <c r="B26" t="s">
        <v>107</v>
      </c>
      <c r="C26">
        <v>-658</v>
      </c>
      <c r="D26">
        <v>-744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">
      <c r="B27" t="s">
        <v>108</v>
      </c>
      <c r="C27" s="22">
        <v>33258</v>
      </c>
      <c r="D27" s="22">
        <v>36363</v>
      </c>
      <c r="E27" s="22">
        <v>19519</v>
      </c>
      <c r="F27" s="22">
        <v>33390</v>
      </c>
      <c r="G27" s="22">
        <v>37482</v>
      </c>
      <c r="H27" s="22">
        <v>51128</v>
      </c>
      <c r="I27" s="22">
        <v>38297</v>
      </c>
      <c r="J27" s="22">
        <v>46641</v>
      </c>
      <c r="K27" s="22">
        <v>46578</v>
      </c>
      <c r="L27" s="22">
        <v>43934</v>
      </c>
      <c r="M27" s="22">
        <v>18829</v>
      </c>
      <c r="N27" s="22">
        <v>13384</v>
      </c>
    </row>
    <row r="28" spans="2:14" x14ac:dyDescent="0.3">
      <c r="B28" t="s">
        <v>109</v>
      </c>
      <c r="C28" s="22">
        <v>-29141</v>
      </c>
      <c r="D28" s="22">
        <v>-23332</v>
      </c>
      <c r="E28" s="22">
        <v>-24924</v>
      </c>
      <c r="F28" s="22">
        <v>-21732</v>
      </c>
      <c r="G28" s="22">
        <v>-29964</v>
      </c>
      <c r="H28" s="22">
        <v>-35198</v>
      </c>
      <c r="I28" s="22">
        <v>-29847</v>
      </c>
      <c r="J28" s="22">
        <v>-29709</v>
      </c>
      <c r="K28" s="22">
        <v>-42816</v>
      </c>
      <c r="L28" s="22">
        <v>-62557</v>
      </c>
      <c r="M28" s="22">
        <v>-47414</v>
      </c>
      <c r="N28" s="22">
        <v>-21443</v>
      </c>
    </row>
    <row r="29" spans="2:14" x14ac:dyDescent="0.3">
      <c r="B29" t="s">
        <v>110</v>
      </c>
      <c r="C29" s="22">
        <v>-6171</v>
      </c>
      <c r="D29" s="22">
        <v>-6307</v>
      </c>
      <c r="E29" s="22">
        <v>-5716</v>
      </c>
      <c r="F29" s="22">
        <v>-5336</v>
      </c>
      <c r="G29" s="22">
        <v>-5411</v>
      </c>
      <c r="H29" s="22">
        <v>-7005</v>
      </c>
      <c r="I29" s="22">
        <v>-7518</v>
      </c>
      <c r="J29" s="22">
        <v>-8123</v>
      </c>
      <c r="K29" s="22">
        <v>-9251</v>
      </c>
      <c r="L29" s="22">
        <v>-9336</v>
      </c>
      <c r="M29" s="22">
        <v>-9332</v>
      </c>
      <c r="N29" s="22">
        <v>-5814</v>
      </c>
    </row>
    <row r="30" spans="2:14" x14ac:dyDescent="0.3">
      <c r="B30" t="s">
        <v>111</v>
      </c>
      <c r="C30">
        <v>-722</v>
      </c>
      <c r="D30">
        <v>-720</v>
      </c>
      <c r="E30">
        <v>-108</v>
      </c>
      <c r="F30">
        <v>-121</v>
      </c>
      <c r="G30">
        <v>-96</v>
      </c>
      <c r="H30">
        <v>-95</v>
      </c>
      <c r="I30">
        <v>-57</v>
      </c>
      <c r="J30">
        <v>-30</v>
      </c>
      <c r="K30">
        <v>-100</v>
      </c>
      <c r="L30">
        <v>-141</v>
      </c>
      <c r="M30" s="22">
        <v>-1059</v>
      </c>
      <c r="N30" s="22">
        <v>-2492</v>
      </c>
    </row>
    <row r="31" spans="2:14" x14ac:dyDescent="0.3">
      <c r="B31" t="s">
        <v>112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2">
        <v>-1346</v>
      </c>
      <c r="J31" s="22">
        <v>-1477</v>
      </c>
      <c r="K31" s="22">
        <v>-1559</v>
      </c>
      <c r="L31" s="22">
        <v>-1517</v>
      </c>
      <c r="M31" s="22">
        <v>-1924</v>
      </c>
      <c r="N31" s="22">
        <v>-2393</v>
      </c>
    </row>
    <row r="32" spans="2:14" x14ac:dyDescent="0.3">
      <c r="B32" t="s">
        <v>113</v>
      </c>
      <c r="C32">
        <v>-450</v>
      </c>
      <c r="D32">
        <v>-57</v>
      </c>
      <c r="E32">
        <v>0</v>
      </c>
      <c r="F32">
        <v>0</v>
      </c>
      <c r="G32">
        <v>0</v>
      </c>
      <c r="H32">
        <v>0</v>
      </c>
      <c r="I32">
        <v>-29</v>
      </c>
      <c r="J32">
        <v>0</v>
      </c>
      <c r="K32" s="22">
        <v>3750</v>
      </c>
      <c r="L32" s="22">
        <v>3355</v>
      </c>
      <c r="M32" s="22">
        <v>3812</v>
      </c>
      <c r="N32" s="22">
        <v>-1136</v>
      </c>
    </row>
    <row r="33" spans="2:14" x14ac:dyDescent="0.3">
      <c r="B33" t="s">
        <v>20</v>
      </c>
      <c r="C33" s="22">
        <v>4277</v>
      </c>
      <c r="D33" s="22">
        <v>4500</v>
      </c>
      <c r="E33" s="22">
        <v>-2589</v>
      </c>
      <c r="F33" s="22">
        <v>-3167</v>
      </c>
      <c r="G33">
        <v>730</v>
      </c>
      <c r="H33" s="22">
        <v>6843</v>
      </c>
      <c r="I33" s="22">
        <v>-3092</v>
      </c>
      <c r="J33" s="22">
        <v>13232</v>
      </c>
      <c r="K33" s="22">
        <v>6459</v>
      </c>
      <c r="L33" s="22">
        <v>-6272</v>
      </c>
      <c r="M33" s="22">
        <v>8128</v>
      </c>
      <c r="N33" s="22">
        <v>-5666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Financials&gt;</vt:lpstr>
      <vt:lpstr>HistoricalFS</vt:lpstr>
      <vt:lpstr>Ratio Analysis</vt:lpstr>
      <vt:lpstr>Common Size Statement</vt:lpstr>
      <vt:lpstr>Peer Analysis</vt:lpstr>
      <vt:lpstr>Data&gt;</vt:lpstr>
      <vt:lpstr>Data Sheet</vt:lpstr>
      <vt:lpstr>Cash Flow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jaydeep sethi</cp:lastModifiedBy>
  <cp:lastPrinted>2025-07-26T06:39:50Z</cp:lastPrinted>
  <dcterms:created xsi:type="dcterms:W3CDTF">2012-08-17T09:55:37Z</dcterms:created>
  <dcterms:modified xsi:type="dcterms:W3CDTF">2025-08-06T15:43:10Z</dcterms:modified>
</cp:coreProperties>
</file>