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aman Punn\Documents\MBAN\OMIS 6000 - Models and Applications in Operational Research\Submission\"/>
    </mc:Choice>
  </mc:AlternateContent>
  <bookViews>
    <workbookView xWindow="0" yWindow="0" windowWidth="23040" windowHeight="8520" activeTab="1"/>
  </bookViews>
  <sheets>
    <sheet name="Dataset" sheetId="1" r:id="rId1"/>
    <sheet name="Simulation Final" sheetId="11" r:id="rId2"/>
    <sheet name="SAS Output" sheetId="4" r:id="rId3"/>
  </sheets>
  <definedNames>
    <definedName name="solver_dia" localSheetId="1" hidden="1">5</definedName>
    <definedName name="solver_int" localSheetId="1" hidden="1">0</definedName>
    <definedName name="solver_lcut" hidden="1">0</definedName>
    <definedName name="solver_mda" localSheetId="1" hidden="1">4</definedName>
    <definedName name="solver_mod" localSheetId="1" hidden="1">3</definedName>
    <definedName name="solver_nopt" localSheetId="1" hidden="1">1200</definedName>
    <definedName name="solver_nsim" hidden="1">1</definedName>
    <definedName name="solver_ntr" localSheetId="1" hidden="1">0</definedName>
    <definedName name="solver_ntri" hidden="1">1600</definedName>
    <definedName name="solver_num" localSheetId="1" hidden="1">0</definedName>
    <definedName name="solver_slv" localSheetId="1" hidden="1">0</definedName>
    <definedName name="solver_slvu" localSheetId="1" hidden="1">0</definedName>
    <definedName name="solver_spid" localSheetId="1" hidden="1">" "</definedName>
    <definedName name="solver_srvr" localSheetId="1" hidden="1">" "</definedName>
    <definedName name="solver_typ" localSheetId="1" hidden="1">2</definedName>
    <definedName name="solver_urs" localSheetId="1" hidden="1">0</definedName>
    <definedName name="solver_ver" localSheetId="1" hidden="1">16</definedName>
    <definedName name="solveri_CHLPerc" hidden="1">"System.Double:98.1011843123846"</definedName>
    <definedName name="solveri_CHLPerc_N12" localSheetId="1" hidden="1">"System.Double:0"</definedName>
    <definedName name="solveri_CHLPerc_N16" localSheetId="1" hidden="1">"System.Double:0"</definedName>
    <definedName name="solveri_CHLPerc_N20" localSheetId="1" hidden="1">"System.Double:0"</definedName>
    <definedName name="solveri_CHLPerc_N4" localSheetId="1" hidden="1">"System.Double:99.9998874797402"</definedName>
    <definedName name="solveri_CHLPerc_N8" localSheetId="1" hidden="1">"System.Double:0"</definedName>
    <definedName name="solveri_CHLPerc_P12" localSheetId="1" hidden="1">"System.Double:0"</definedName>
    <definedName name="solveri_CHLPerc_P4" localSheetId="1" hidden="1">"System.Double:0"</definedName>
    <definedName name="solveri_CHLPerc_P8" localSheetId="1" hidden="1">"System.Double:0"</definedName>
    <definedName name="solveri_CHUPerc_N12" localSheetId="1" hidden="1">"System.Double:99.9999989952234"</definedName>
    <definedName name="solveri_CHUPerc_N16" localSheetId="1" hidden="1">"System.Double:99.9998874797402"</definedName>
    <definedName name="solveri_CHUPerc_N20" localSheetId="1" hidden="1">"System.Double:99.9998874797402"</definedName>
    <definedName name="solveri_CHUPerc_N4" localSheetId="1" hidden="1">"System.Double:100"</definedName>
    <definedName name="solveri_CHUPerc_N8" localSheetId="1" hidden="1">"System.Double:100"</definedName>
    <definedName name="solveri_CHUPerc_P4" localSheetId="1" hidden="1">"System.Double:98.1011843123846"</definedName>
    <definedName name="solveri_CHUPerc_P8" localSheetId="1" hidden="1">"System.Double:100"</definedName>
    <definedName name="solveri_ISpPars_N12" localSheetId="1" hidden="1">"RiskSolver.UI.Charts.InputDlgPars:-1000001;1;1;25;30;49;36;0;90;90;0;0;0;0;1;"</definedName>
    <definedName name="solveri_ISpPars_N16" localSheetId="1" hidden="1">"RiskSolver.UI.Charts.InputDlgPars:-1000001;1;1;25;30;49;36;0;90;90;0;0;0;0;1;"</definedName>
    <definedName name="solveri_ISpPars_N20" localSheetId="1" hidden="1">"RiskSolver.UI.Charts.InputDlgPars:-1000001;1;1;25;30;49;36;0;90;90;0;0;0;0;1;"</definedName>
    <definedName name="solveri_ISpPars_N4" localSheetId="1" hidden="1">"RiskSolver.UI.Charts.InputDlgPars:-1000001;1;1;34;45;49;36;0;90;90;0;0;0;0;1;"</definedName>
    <definedName name="solveri_ISpPars_N8" localSheetId="1" hidden="1">"RiskSolver.UI.Charts.InputDlgPars:-1000001;1;1;25;30;49;36;0;90;90;0;0;0;0;1;"</definedName>
    <definedName name="solveri_ISpPars_P12" localSheetId="1" hidden="1">"RiskSolver.UI.Charts.InputDlgPars:-1000001;1;1;25;30;49;36;0;90;90;0;0;0;0;1;"</definedName>
    <definedName name="solveri_ISpPars_P3" localSheetId="1" hidden="1">"RiskSolver.UI.Charts.InputDlgPars:-1000001;1;1;25;30;49;36;0;90;90;0;0;0;0;1;"</definedName>
    <definedName name="solveri_ISpPars_P4" localSheetId="1" hidden="1">"RiskSolver.UI.Charts.InputDlgPars:-1000001;1;1;36;36;44;36;0;90;90;0;0;0;0;1;"</definedName>
    <definedName name="solveri_ISpPars_P5" localSheetId="1" hidden="1">"RiskSolver.UI.Charts.InputDlgPars:-1000001;1;1;25;30;49;36;0;90;90;0;0;0;0;1;"</definedName>
    <definedName name="solveri_ISpPars_P8" localSheetId="1" hidden="1">"RiskSolver.UI.Charts.InputDlgPars:-1000001;1;1;25;30;49;36;0;90;90;0;0;0;0;1;"</definedName>
    <definedName name="solvero_CRMax" hidden="1">"System.Double:NaN"</definedName>
    <definedName name="solvero_CRMax_R3" localSheetId="1" hidden="1">"System.Double:NaN"</definedName>
    <definedName name="solvero_CRMax_S3" localSheetId="1" hidden="1">"System.Double:4142.2"</definedName>
    <definedName name="solvero_CRMax_T3" localSheetId="1" hidden="1">"System.Double:4986.03450294661"</definedName>
    <definedName name="solvero_CRMin" hidden="1">"System.Double:0"</definedName>
    <definedName name="solvero_CRMin_R3" localSheetId="1" hidden="1">"System.Double:0"</definedName>
    <definedName name="solvero_CRMin_S3" localSheetId="1" hidden="1">"System.Double:2071.1"</definedName>
    <definedName name="solvero_CRMin_T3" localSheetId="1" hidden="1">"System.Double:0"</definedName>
    <definedName name="solvero_OSpPars" hidden="1">"RiskSolver.UI.Charts.OutDlgPars:-1000001;19;30;62;36;0;1;90;80;0;0;0;0;1;"</definedName>
    <definedName name="solvero_OSpPars_R3" localSheetId="1" hidden="1">"RiskSolver.UI.Charts.OutDlgPars:-1000001;19;30;62;36;0;1;90;80;0;0;0;0;1;"</definedName>
    <definedName name="solvero_OSpPars_S3" localSheetId="1" hidden="1">"RiskSolver.UI.Charts.OutDlgPars:-1000001;19;30;62;36;0;1;90;80;0;0;0;0;1;"</definedName>
    <definedName name="solvero_OSpPars_T3" localSheetId="1" hidden="1">"RiskSolver.UI.Charts.OutDlgPars:-1000001;19;30;62;36;0;1;90;80;0;0;0;0;1;"</definedName>
  </definedNames>
  <calcPr calcId="162913"/>
  <fileRecoveryPr autoRecover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4"/>
    </ext>
  </extLst>
</workbook>
</file>

<file path=xl/calcChain.xml><?xml version="1.0" encoding="utf-8"?>
<calcChain xmlns="http://schemas.openxmlformats.org/spreadsheetml/2006/main">
  <c r="B8" i="1" l="1"/>
  <c r="B7" i="1"/>
  <c r="B6" i="1"/>
  <c r="B5" i="1"/>
  <c r="B4" i="1"/>
  <c r="J21" i="11"/>
  <c r="J17" i="11"/>
  <c r="J13" i="11"/>
  <c r="J9" i="11"/>
  <c r="J8" i="11" s="1"/>
  <c r="J5" i="11"/>
  <c r="E6" i="1"/>
  <c r="E8" i="1"/>
  <c r="E4" i="1"/>
  <c r="B9" i="1" s="1"/>
  <c r="G5" i="1"/>
  <c r="E5" i="1" s="1"/>
  <c r="B10" i="1" s="1"/>
  <c r="G6" i="1"/>
  <c r="G7" i="1"/>
  <c r="E7" i="1" s="1"/>
  <c r="G8" i="1"/>
  <c r="G4" i="1"/>
  <c r="R4" i="11"/>
  <c r="B11" i="1" l="1"/>
  <c r="F22" i="11" l="1"/>
  <c r="F21" i="11"/>
  <c r="F18" i="11"/>
  <c r="F17" i="11"/>
  <c r="F14" i="11"/>
  <c r="F13" i="11"/>
  <c r="F10" i="11"/>
  <c r="F9" i="11"/>
  <c r="F6" i="11"/>
  <c r="F5" i="11"/>
  <c r="N16" i="11"/>
  <c r="N20" i="11"/>
  <c r="N12" i="11"/>
  <c r="N8" i="11"/>
  <c r="N4" i="11"/>
  <c r="N21" i="11" l="1"/>
  <c r="N17" i="11"/>
  <c r="N5" i="11"/>
  <c r="N9" i="11"/>
  <c r="N13" i="11"/>
  <c r="J6" i="11" l="1"/>
  <c r="J4" i="11"/>
  <c r="J22" i="11"/>
  <c r="J20" i="11"/>
  <c r="J10" i="11"/>
  <c r="J12" i="11"/>
  <c r="J14" i="11"/>
  <c r="J16" i="11"/>
  <c r="J18" i="11"/>
  <c r="N6" i="11"/>
  <c r="N22" i="11"/>
  <c r="N18" i="11"/>
  <c r="N10" i="11"/>
  <c r="N14" i="11"/>
  <c r="O14" i="11" l="1"/>
  <c r="O10" i="11"/>
  <c r="O18" i="11"/>
  <c r="O22" i="11"/>
  <c r="O6" i="11"/>
  <c r="R3" i="11" l="1"/>
</calcChain>
</file>

<file path=xl/sharedStrings.xml><?xml version="1.0" encoding="utf-8"?>
<sst xmlns="http://schemas.openxmlformats.org/spreadsheetml/2006/main" count="185" uniqueCount="77">
  <si>
    <t>DEPARTURE_DELAY</t>
  </si>
  <si>
    <t>ARRIVAL_DELAY</t>
  </si>
  <si>
    <t>AIR_SYSTEM_DELAY</t>
  </si>
  <si>
    <t>SECURITY_DELAY</t>
  </si>
  <si>
    <t>AIRLINE_DELAY</t>
  </si>
  <si>
    <t>LATE_AIRCRAFT_DELAY</t>
  </si>
  <si>
    <t>WEATHER_DELAY</t>
  </si>
  <si>
    <t>Delay Type</t>
  </si>
  <si>
    <t xml:space="preserve">Cost </t>
  </si>
  <si>
    <t>Function</t>
  </si>
  <si>
    <t>Crew – Pilots/Flight Attendants</t>
  </si>
  <si>
    <t>Fuel</t>
  </si>
  <si>
    <t>Maintenance</t>
  </si>
  <si>
    <t>Aircraft Ownership</t>
  </si>
  <si>
    <t>Other</t>
  </si>
  <si>
    <t>Average</t>
  </si>
  <si>
    <t>Cost</t>
  </si>
  <si>
    <t>Delay Working</t>
  </si>
  <si>
    <t>Cost  per function per one  minute of delay **</t>
  </si>
  <si>
    <t xml:space="preserve">** Data pulled down from  official US Airlines Stats. </t>
  </si>
  <si>
    <t>Working</t>
  </si>
  <si>
    <t>SR #:</t>
  </si>
  <si>
    <t>Delay in the # of minutes:</t>
  </si>
  <si>
    <t>Assumption / Calculation:</t>
  </si>
  <si>
    <t>Type of delay:</t>
  </si>
  <si>
    <t>Cost of delay:</t>
  </si>
  <si>
    <t>Most likely</t>
  </si>
  <si>
    <t>Best case</t>
  </si>
  <si>
    <t>Worst case</t>
  </si>
  <si>
    <t>Air traffic delays:</t>
  </si>
  <si>
    <t>Late aircraft delays:</t>
  </si>
  <si>
    <t>Airline delays:</t>
  </si>
  <si>
    <t>Security delays:</t>
  </si>
  <si>
    <t>Weather delays:</t>
  </si>
  <si>
    <t>Scenario:</t>
  </si>
  <si>
    <t>Scenario</t>
  </si>
  <si>
    <t>Delay</t>
  </si>
  <si>
    <t>The UNIVARIATE Procedure</t>
  </si>
  <si>
    <t>Variable: WEATHER_DELAY</t>
  </si>
  <si>
    <t>Moments</t>
  </si>
  <si>
    <t>N</t>
  </si>
  <si>
    <t>Sum Weights</t>
  </si>
  <si>
    <t>Mean</t>
  </si>
  <si>
    <t>Sum Observations</t>
  </si>
  <si>
    <t>Std Deviation</t>
  </si>
  <si>
    <t>Variance</t>
  </si>
  <si>
    <t>Skewness</t>
  </si>
  <si>
    <t>Kurtosis</t>
  </si>
  <si>
    <t>Uncorrected SS</t>
  </si>
  <si>
    <t>Corrected SS</t>
  </si>
  <si>
    <t>Coeff Variation</t>
  </si>
  <si>
    <t>Std Error Mean</t>
  </si>
  <si>
    <t>Variable: SECURITY_DELAY</t>
  </si>
  <si>
    <t>Variable: AIRLINE_DELAY</t>
  </si>
  <si>
    <t>Variable: LATE_AIRCRAFT_DELAY</t>
  </si>
  <si>
    <t>Variable: AIR_SYSTEM_DELAY</t>
  </si>
  <si>
    <t># of days in year</t>
  </si>
  <si>
    <t>domestic flights per day</t>
  </si>
  <si>
    <t>Analysis:</t>
  </si>
  <si>
    <t>Total delay costs</t>
  </si>
  <si>
    <t>Total cost of delay
of last trial:</t>
  </si>
  <si>
    <t>Average cost of delay
across all trials:</t>
  </si>
  <si>
    <t>Most likely cost incease</t>
  </si>
  <si>
    <t>Worse case cost decrease</t>
  </si>
  <si>
    <t>Airline delay frequency</t>
  </si>
  <si>
    <t>Late aircraft delay frequency</t>
  </si>
  <si>
    <t>Air traffic delay frequency</t>
  </si>
  <si>
    <t>Security delay frequency</t>
  </si>
  <si>
    <t>Weather delay frequency</t>
  </si>
  <si>
    <t>Assumptions/Parameters:</t>
  </si>
  <si>
    <t>Rate:</t>
  </si>
  <si>
    <t>0 is the best case scenario (no delays)</t>
  </si>
  <si>
    <t>The average minutes of delays in 2015</t>
  </si>
  <si>
    <t>The average plus one standard deviation</t>
  </si>
  <si>
    <t># of stdev for worst cases</t>
  </si>
  <si>
    <t>Budget for the year</t>
  </si>
  <si>
    <t>Rate of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</si>
</sst>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&quot;$&quot;* #,##0.00_-;\-&quot;$&quot;* #,##0.00_-;_-&quot;$&quot;* &quot;-&quot;??_-;_-@_-"/>
    <numFmt numFmtId="164" formatCode="&quot;$&quot;#,##0.00_);[Red]\(&quot;$&quot;#,##0.00\)"/>
    <numFmt numFmtId="165" formatCode="&quot;$&quot;#,##0.00;[Red]&quot;$&quot;#,##0.00"/>
  </numFmts>
  <fonts count="10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112277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DF2F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4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44" fontId="4" fillId="0" borderId="1" xfId="1" applyFont="1" applyFill="1" applyBorder="1" applyAlignment="1">
      <alignment horizontal="center" vertical="center"/>
    </xf>
    <xf numFmtId="44" fontId="4" fillId="0" borderId="0" xfId="1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5" borderId="1" xfId="0" applyFill="1" applyBorder="1"/>
    <xf numFmtId="0" fontId="0" fillId="6" borderId="1" xfId="0" applyFill="1" applyBorder="1"/>
    <xf numFmtId="0" fontId="0" fillId="3" borderId="1" xfId="0" applyFill="1" applyBorder="1"/>
    <xf numFmtId="0" fontId="7" fillId="0" borderId="0" xfId="0" applyFont="1" applyAlignment="1">
      <alignment horizontal="center" vertical="center"/>
    </xf>
    <xf numFmtId="0" fontId="0" fillId="0" borderId="0" xfId="0" applyAlignment="1"/>
    <xf numFmtId="0" fontId="8" fillId="0" borderId="0" xfId="0" applyFont="1" applyAlignment="1">
      <alignment horizontal="center" vertical="center"/>
    </xf>
    <xf numFmtId="0" fontId="7" fillId="7" borderId="0" xfId="0" applyFont="1" applyFill="1" applyAlignment="1">
      <alignment horizontal="left" vertical="top"/>
    </xf>
    <xf numFmtId="0" fontId="9" fillId="8" borderId="0" xfId="0" applyFont="1" applyFill="1" applyAlignment="1">
      <alignment horizontal="right" vertical="top"/>
    </xf>
    <xf numFmtId="44" fontId="4" fillId="0" borderId="1" xfId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44" fontId="4" fillId="9" borderId="3" xfId="1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44" fontId="4" fillId="9" borderId="5" xfId="1" applyFont="1" applyFill="1" applyBorder="1" applyAlignment="1">
      <alignment horizontal="center" vertical="center"/>
    </xf>
    <xf numFmtId="9" fontId="4" fillId="0" borderId="1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44" fontId="4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6" fillId="4" borderId="1" xfId="0" applyFont="1" applyFill="1" applyBorder="1" applyAlignment="1">
      <alignment horizontal="center" vertical="center" wrapText="1"/>
    </xf>
    <xf numFmtId="0" fontId="7" fillId="7" borderId="0" xfId="0" applyFont="1" applyFill="1" applyAlignment="1">
      <alignment horizontal="center"/>
    </xf>
    <xf numFmtId="164" fontId="0" fillId="0" borderId="1" xfId="0" applyNumberFormat="1" applyBorder="1" applyAlignment="1">
      <alignment horizontal="center"/>
    </xf>
    <xf numFmtId="10" fontId="0" fillId="3" borderId="1" xfId="0" applyNumberFormat="1" applyFill="1" applyBorder="1" applyAlignment="1">
      <alignment horizontal="center"/>
    </xf>
    <xf numFmtId="165" fontId="0" fillId="0" borderId="1" xfId="0" applyNumberFormat="1" applyBorder="1"/>
    <xf numFmtId="0" fontId="1" fillId="4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7" fillId="7" borderId="0" xfId="0" applyFont="1" applyFill="1" applyAlignment="1">
      <alignment horizontal="left" vertical="top" wrapText="1"/>
    </xf>
    <xf numFmtId="0" fontId="9" fillId="8" borderId="0" xfId="0" applyFont="1" applyFill="1" applyAlignment="1">
      <alignment horizontal="right" vertical="top" wrapText="1"/>
    </xf>
    <xf numFmtId="0" fontId="7" fillId="7" borderId="0" xfId="0" applyFont="1" applyFill="1" applyAlignment="1">
      <alignment horizontal="center" wrapText="1"/>
    </xf>
    <xf numFmtId="11" fontId="9" fillId="8" borderId="0" xfId="0" applyNumberFormat="1" applyFont="1" applyFill="1" applyAlignment="1">
      <alignment horizontal="right" vertical="top" wrapText="1"/>
    </xf>
    <xf numFmtId="9" fontId="4" fillId="0" borderId="0" xfId="2" applyFont="1" applyAlignment="1">
      <alignment horizontal="center" vertic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11"/>
  <sheetViews>
    <sheetView workbookViewId="0">
      <selection activeCell="B9" sqref="B9"/>
    </sheetView>
  </sheetViews>
  <sheetFormatPr defaultColWidth="10.84765625" defaultRowHeight="15.6" x14ac:dyDescent="0.6"/>
  <cols>
    <col min="1" max="1" width="20.1484375" bestFit="1" customWidth="1"/>
    <col min="2" max="2" width="6.1484375" bestFit="1" customWidth="1"/>
    <col min="4" max="4" width="28.296875" customWidth="1"/>
    <col min="5" max="9" width="7.8984375" customWidth="1"/>
  </cols>
  <sheetData>
    <row r="1" spans="1:9" x14ac:dyDescent="0.6">
      <c r="A1" s="31" t="s">
        <v>20</v>
      </c>
      <c r="B1" s="31"/>
      <c r="C1" s="31"/>
      <c r="D1" s="31"/>
      <c r="E1" s="31"/>
      <c r="F1" s="31"/>
      <c r="G1" s="31"/>
      <c r="H1" s="31"/>
      <c r="I1" s="31"/>
    </row>
    <row r="2" spans="1:9" x14ac:dyDescent="0.6">
      <c r="A2" s="30" t="s">
        <v>17</v>
      </c>
      <c r="B2" s="30"/>
      <c r="D2" s="30" t="s">
        <v>18</v>
      </c>
      <c r="E2" s="30"/>
      <c r="F2" s="30"/>
      <c r="G2" s="30"/>
      <c r="H2" s="30"/>
      <c r="I2" s="30"/>
    </row>
    <row r="3" spans="1:9" x14ac:dyDescent="0.6">
      <c r="A3" s="37" t="s">
        <v>7</v>
      </c>
      <c r="B3" s="37" t="s">
        <v>8</v>
      </c>
      <c r="C3" s="38"/>
      <c r="D3" s="39" t="s">
        <v>9</v>
      </c>
      <c r="E3" s="39">
        <v>2017</v>
      </c>
      <c r="F3" s="39" t="s">
        <v>76</v>
      </c>
      <c r="G3" s="39">
        <v>2016</v>
      </c>
      <c r="H3" s="39" t="s">
        <v>76</v>
      </c>
      <c r="I3" s="39">
        <v>2015</v>
      </c>
    </row>
    <row r="4" spans="1:9" x14ac:dyDescent="0.6">
      <c r="A4" s="13" t="s">
        <v>2</v>
      </c>
      <c r="B4" s="36">
        <f>E7+E4+E5+E6</f>
        <v>57.877806229999997</v>
      </c>
      <c r="D4" s="2" t="s">
        <v>10</v>
      </c>
      <c r="E4" s="34">
        <f>G4*(1+F4)</f>
        <v>23.130338219999999</v>
      </c>
      <c r="F4" s="35">
        <v>8.8999999999999996E-2</v>
      </c>
      <c r="G4" s="34">
        <f>I4*(1+H4)</f>
        <v>21.239979999999999</v>
      </c>
      <c r="H4" s="35">
        <v>8.6999999999999994E-2</v>
      </c>
      <c r="I4" s="2">
        <v>19.54</v>
      </c>
    </row>
    <row r="5" spans="1:9" x14ac:dyDescent="0.6">
      <c r="A5" s="13" t="s">
        <v>3</v>
      </c>
      <c r="B5" s="36">
        <f>E8+E4+E7</f>
        <v>33.246232820000003</v>
      </c>
      <c r="D5" s="2" t="s">
        <v>11</v>
      </c>
      <c r="E5" s="34">
        <f t="shared" ref="E5:E8" si="0">G5*(1+F5)</f>
        <v>14.957637949999997</v>
      </c>
      <c r="F5" s="35">
        <v>-0.189</v>
      </c>
      <c r="G5" s="34">
        <f t="shared" ref="G5:G8" si="1">I5*(1+H5)</f>
        <v>18.443449999999999</v>
      </c>
      <c r="H5" s="35">
        <v>-0.185</v>
      </c>
      <c r="I5" s="2">
        <v>22.63</v>
      </c>
    </row>
    <row r="6" spans="1:9" x14ac:dyDescent="0.6">
      <c r="A6" s="13" t="s">
        <v>4</v>
      </c>
      <c r="B6" s="36">
        <f>E8+E4+E7+E6</f>
        <v>45.668491680000002</v>
      </c>
      <c r="D6" s="2" t="s">
        <v>12</v>
      </c>
      <c r="E6" s="34">
        <f t="shared" si="0"/>
        <v>12.422258860000001</v>
      </c>
      <c r="F6" s="35">
        <v>3.4000000000000002E-2</v>
      </c>
      <c r="G6" s="34">
        <f t="shared" si="1"/>
        <v>12.01379</v>
      </c>
      <c r="H6" s="35">
        <v>3.3000000000000002E-2</v>
      </c>
      <c r="I6" s="2">
        <v>11.63</v>
      </c>
    </row>
    <row r="7" spans="1:9" x14ac:dyDescent="0.6">
      <c r="A7" s="13" t="s">
        <v>5</v>
      </c>
      <c r="B7" s="36">
        <f>E7+E4+E5+E8</f>
        <v>48.203870769999995</v>
      </c>
      <c r="D7" s="2" t="s">
        <v>13</v>
      </c>
      <c r="E7" s="34">
        <f t="shared" si="0"/>
        <v>7.3675712000000004</v>
      </c>
      <c r="F7" s="35">
        <v>-8.5999999999999993E-2</v>
      </c>
      <c r="G7" s="34">
        <f t="shared" si="1"/>
        <v>8.0608000000000004</v>
      </c>
      <c r="H7" s="35">
        <v>-8.4000000000000005E-2</v>
      </c>
      <c r="I7" s="2">
        <v>8.8000000000000007</v>
      </c>
    </row>
    <row r="8" spans="1:9" x14ac:dyDescent="0.6">
      <c r="A8" s="13" t="s">
        <v>6</v>
      </c>
      <c r="B8" s="36">
        <f>E4+E5+E6+E7+E8</f>
        <v>60.626129629999994</v>
      </c>
      <c r="D8" s="2" t="s">
        <v>14</v>
      </c>
      <c r="E8" s="34">
        <f t="shared" si="0"/>
        <v>2.7483234000000003</v>
      </c>
      <c r="F8" s="35">
        <v>-1.7999999999999999E-2</v>
      </c>
      <c r="G8" s="34">
        <f t="shared" si="1"/>
        <v>2.7987000000000002</v>
      </c>
      <c r="H8" s="35">
        <v>-1.7999999999999999E-2</v>
      </c>
      <c r="I8" s="2">
        <v>2.85</v>
      </c>
    </row>
    <row r="9" spans="1:9" x14ac:dyDescent="0.6">
      <c r="A9" s="14" t="s">
        <v>0</v>
      </c>
      <c r="B9" s="36">
        <f>E8+E4</f>
        <v>25.878661619999999</v>
      </c>
    </row>
    <row r="10" spans="1:9" x14ac:dyDescent="0.6">
      <c r="A10" s="14" t="s">
        <v>1</v>
      </c>
      <c r="B10" s="36">
        <f>E5+E4+E8</f>
        <v>40.836299569999994</v>
      </c>
      <c r="D10" t="s">
        <v>19</v>
      </c>
    </row>
    <row r="11" spans="1:9" x14ac:dyDescent="0.6">
      <c r="A11" s="15" t="s">
        <v>15</v>
      </c>
      <c r="B11" s="1">
        <f>AVERAGE(B4:B10)</f>
        <v>44.619641759999993</v>
      </c>
    </row>
  </sheetData>
  <mergeCells count="3">
    <mergeCell ref="A2:B2"/>
    <mergeCell ref="D2:I2"/>
    <mergeCell ref="A1:I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B2:R35"/>
  <sheetViews>
    <sheetView tabSelected="1" workbookViewId="0">
      <selection activeCell="S28" sqref="S28"/>
    </sheetView>
  </sheetViews>
  <sheetFormatPr defaultColWidth="8.84765625" defaultRowHeight="12.9" x14ac:dyDescent="0.6"/>
  <cols>
    <col min="1" max="1" width="0.8984375" style="3" customWidth="1"/>
    <col min="2" max="2" width="4" style="3" bestFit="1" customWidth="1"/>
    <col min="3" max="3" width="0.8984375" style="3" customWidth="1"/>
    <col min="4" max="4" width="19.8984375" style="3" bestFit="1" customWidth="1"/>
    <col min="5" max="5" width="13.09765625" style="3" bestFit="1" customWidth="1"/>
    <col min="6" max="6" width="11.75" style="3" bestFit="1" customWidth="1"/>
    <col min="7" max="7" width="1" style="3" customWidth="1"/>
    <col min="8" max="8" width="29.046875" style="3" customWidth="1"/>
    <col min="9" max="9" width="1" style="3" customWidth="1"/>
    <col min="10" max="10" width="9.8984375" style="3" bestFit="1" customWidth="1"/>
    <col min="11" max="11" width="0.8984375" style="3" customWidth="1"/>
    <col min="12" max="12" width="8.84765625" style="3" customWidth="1"/>
    <col min="13" max="14" width="8.84765625" style="3"/>
    <col min="15" max="15" width="11.75" style="3" bestFit="1" customWidth="1"/>
    <col min="16" max="16" width="8.84765625" style="3"/>
    <col min="17" max="17" width="15.3984375" style="3" bestFit="1" customWidth="1"/>
    <col min="18" max="18" width="14.34765625" style="3" bestFit="1" customWidth="1"/>
    <col min="19" max="16384" width="8.84765625" style="3"/>
  </cols>
  <sheetData>
    <row r="2" spans="2:18" ht="13.2" thickBot="1" x14ac:dyDescent="0.65"/>
    <row r="3" spans="2:18" ht="25.8" x14ac:dyDescent="0.6">
      <c r="B3" s="4" t="s">
        <v>21</v>
      </c>
      <c r="C3" s="4"/>
      <c r="D3" s="4" t="s">
        <v>24</v>
      </c>
      <c r="E3" s="4" t="s">
        <v>34</v>
      </c>
      <c r="F3" s="28" t="s">
        <v>22</v>
      </c>
      <c r="G3" s="28"/>
      <c r="H3" s="4" t="s">
        <v>23</v>
      </c>
      <c r="I3" s="4"/>
      <c r="J3" s="4" t="s">
        <v>25</v>
      </c>
      <c r="K3" s="5"/>
      <c r="M3" s="32" t="s">
        <v>58</v>
      </c>
      <c r="N3" s="32"/>
      <c r="O3" s="32"/>
      <c r="Q3" s="22" t="s">
        <v>60</v>
      </c>
      <c r="R3" s="23">
        <f ca="1">E35-(O6*E29+O10*E30+O14*E31+O18*E32+O22*E33)*E27*E28</f>
        <v>-146504958.99940938</v>
      </c>
    </row>
    <row r="4" spans="2:18" ht="25.8" x14ac:dyDescent="0.6">
      <c r="B4" s="6">
        <v>1</v>
      </c>
      <c r="C4" s="6"/>
      <c r="D4" s="7" t="s">
        <v>33</v>
      </c>
      <c r="E4" s="6" t="s">
        <v>27</v>
      </c>
      <c r="F4" s="11">
        <v>0</v>
      </c>
      <c r="G4" s="6"/>
      <c r="H4" s="6" t="s">
        <v>71</v>
      </c>
      <c r="I4" s="6"/>
      <c r="J4" s="8">
        <f>J5*$E$25</f>
        <v>59.413607037399991</v>
      </c>
      <c r="K4" s="9"/>
      <c r="M4" s="12" t="s">
        <v>35</v>
      </c>
      <c r="N4" s="11">
        <f ca="1">_xll.PsiPoisson(1,_xll.PsiCensor(1, 3))</f>
        <v>2</v>
      </c>
      <c r="O4" s="11"/>
      <c r="Q4" s="24" t="s">
        <v>61</v>
      </c>
      <c r="R4" s="25">
        <f ca="1">_xll.PsiMean(R3)</f>
        <v>32728017.447609615</v>
      </c>
    </row>
    <row r="5" spans="2:18" x14ac:dyDescent="0.6">
      <c r="B5" s="6">
        <v>2</v>
      </c>
      <c r="C5" s="6"/>
      <c r="D5" s="7" t="s">
        <v>33</v>
      </c>
      <c r="E5" s="6" t="s">
        <v>26</v>
      </c>
      <c r="F5" s="11">
        <f>'SAS Output'!B6</f>
        <v>0.67143221200000003</v>
      </c>
      <c r="G5" s="6"/>
      <c r="H5" s="6" t="s">
        <v>72</v>
      </c>
      <c r="I5" s="6"/>
      <c r="J5" s="8">
        <f>Dataset!B8</f>
        <v>60.626129629999994</v>
      </c>
      <c r="K5" s="9"/>
      <c r="M5" s="12" t="s">
        <v>36</v>
      </c>
      <c r="N5" s="12">
        <f ca="1">CHOOSE(N4,F4,F5,F6)</f>
        <v>0.67143221200000003</v>
      </c>
      <c r="O5" s="27" t="s">
        <v>59</v>
      </c>
      <c r="R5" s="29"/>
    </row>
    <row r="6" spans="2:18" x14ac:dyDescent="0.6">
      <c r="B6" s="6">
        <v>3</v>
      </c>
      <c r="C6" s="6"/>
      <c r="D6" s="7" t="s">
        <v>33</v>
      </c>
      <c r="E6" s="6" t="s">
        <v>28</v>
      </c>
      <c r="F6" s="11">
        <f>'SAS Output'!B6+('SAS Output'!B7*E34)</f>
        <v>8.0074985620000003</v>
      </c>
      <c r="G6" s="6"/>
      <c r="H6" s="6" t="s">
        <v>73</v>
      </c>
      <c r="I6" s="6"/>
      <c r="J6" s="8">
        <f>J5*$E$26</f>
        <v>61.838652222599997</v>
      </c>
      <c r="K6" s="9"/>
      <c r="M6" s="12" t="s">
        <v>16</v>
      </c>
      <c r="N6" s="21">
        <f ca="1">_xll.PsiTriangular(J4,J5,J6)</f>
        <v>61.02727028367471</v>
      </c>
      <c r="O6" s="21">
        <f ca="1">N6*N5</f>
        <v>40.97567507888958</v>
      </c>
    </row>
    <row r="7" spans="2:18" ht="6" customHeight="1" x14ac:dyDescent="0.6">
      <c r="B7" s="6"/>
      <c r="C7" s="6"/>
      <c r="D7" s="7"/>
      <c r="E7" s="6"/>
      <c r="F7" s="6"/>
      <c r="G7" s="6"/>
      <c r="H7" s="6"/>
      <c r="I7" s="6"/>
      <c r="J7" s="8"/>
      <c r="K7" s="9"/>
      <c r="M7" s="12"/>
      <c r="N7" s="12"/>
      <c r="O7" s="12"/>
    </row>
    <row r="8" spans="2:18" x14ac:dyDescent="0.6">
      <c r="B8" s="6">
        <v>1</v>
      </c>
      <c r="C8" s="6"/>
      <c r="D8" s="6" t="s">
        <v>32</v>
      </c>
      <c r="E8" s="6" t="s">
        <v>27</v>
      </c>
      <c r="F8" s="11">
        <v>0</v>
      </c>
      <c r="G8" s="6"/>
      <c r="H8" s="6" t="s">
        <v>71</v>
      </c>
      <c r="I8" s="6"/>
      <c r="J8" s="8">
        <f>J9*$E$25</f>
        <v>32.581308163599999</v>
      </c>
      <c r="K8" s="9"/>
      <c r="M8" s="12" t="s">
        <v>35</v>
      </c>
      <c r="N8" s="11">
        <f ca="1">_xll.PsiIntUniform(1,3)</f>
        <v>1</v>
      </c>
      <c r="O8" s="11"/>
    </row>
    <row r="9" spans="2:18" x14ac:dyDescent="0.6">
      <c r="B9" s="6">
        <v>2</v>
      </c>
      <c r="C9" s="6"/>
      <c r="D9" s="6" t="s">
        <v>32</v>
      </c>
      <c r="E9" s="6" t="s">
        <v>26</v>
      </c>
      <c r="F9" s="11">
        <f>'SAS Output'!B17</f>
        <v>1.3660300000000001E-4</v>
      </c>
      <c r="G9" s="6"/>
      <c r="H9" s="6" t="s">
        <v>72</v>
      </c>
      <c r="I9" s="6"/>
      <c r="J9" s="8">
        <f>Dataset!B5</f>
        <v>33.246232820000003</v>
      </c>
      <c r="K9" s="9"/>
      <c r="M9" s="12" t="s">
        <v>36</v>
      </c>
      <c r="N9" s="12">
        <f ca="1">CHOOSE(N8,F8,F9,F10)</f>
        <v>0</v>
      </c>
      <c r="O9" s="27" t="s">
        <v>59</v>
      </c>
    </row>
    <row r="10" spans="2:18" x14ac:dyDescent="0.6">
      <c r="B10" s="6">
        <v>3</v>
      </c>
      <c r="C10" s="6"/>
      <c r="D10" s="6" t="s">
        <v>32</v>
      </c>
      <c r="E10" s="6" t="s">
        <v>28</v>
      </c>
      <c r="F10" s="11">
        <f>'SAS Output'!B17+('SAS Output'!B18*E34)</f>
        <v>5.311573E-3</v>
      </c>
      <c r="G10" s="6"/>
      <c r="H10" s="6" t="s">
        <v>73</v>
      </c>
      <c r="I10" s="6"/>
      <c r="J10" s="8">
        <f>J9*$E$26</f>
        <v>33.911157476400007</v>
      </c>
      <c r="K10" s="9"/>
      <c r="M10" s="12" t="s">
        <v>16</v>
      </c>
      <c r="N10" s="21">
        <f ca="1">_xll.PsiTriangular(J8,J9,J10)</f>
        <v>33.246172659028389</v>
      </c>
      <c r="O10" s="21">
        <f ca="1">N10*N9</f>
        <v>0</v>
      </c>
    </row>
    <row r="11" spans="2:18" ht="5.8" customHeight="1" x14ac:dyDescent="0.6">
      <c r="B11" s="6"/>
      <c r="C11" s="6"/>
      <c r="D11" s="6"/>
      <c r="E11" s="6"/>
      <c r="F11" s="6"/>
      <c r="G11" s="6"/>
      <c r="H11" s="6"/>
      <c r="I11" s="6"/>
      <c r="J11" s="6"/>
      <c r="K11" s="10"/>
      <c r="M11" s="12"/>
      <c r="N11" s="12"/>
      <c r="O11" s="12"/>
    </row>
    <row r="12" spans="2:18" x14ac:dyDescent="0.6">
      <c r="B12" s="6">
        <v>1</v>
      </c>
      <c r="C12" s="6"/>
      <c r="D12" s="6" t="s">
        <v>29</v>
      </c>
      <c r="E12" s="6" t="s">
        <v>27</v>
      </c>
      <c r="F12" s="11">
        <v>0</v>
      </c>
      <c r="G12" s="6"/>
      <c r="H12" s="6" t="s">
        <v>71</v>
      </c>
      <c r="I12" s="6"/>
      <c r="J12" s="8">
        <f>J13*$E$25</f>
        <v>56.720250105399998</v>
      </c>
      <c r="K12" s="9"/>
      <c r="M12" s="12" t="s">
        <v>35</v>
      </c>
      <c r="N12" s="11">
        <f ca="1">_xll.PsiPoisson(1,_xll.PsiCensor(1, 3))</f>
        <v>3</v>
      </c>
      <c r="O12" s="11"/>
    </row>
    <row r="13" spans="2:18" x14ac:dyDescent="0.6">
      <c r="B13" s="6">
        <v>2</v>
      </c>
      <c r="C13" s="6"/>
      <c r="D13" s="6" t="s">
        <v>29</v>
      </c>
      <c r="E13" s="6" t="s">
        <v>26</v>
      </c>
      <c r="F13" s="11">
        <f>'SAS Output'!B28</f>
        <v>3.2082472640000002</v>
      </c>
      <c r="G13" s="6"/>
      <c r="H13" s="6" t="s">
        <v>72</v>
      </c>
      <c r="I13" s="6"/>
      <c r="J13" s="8">
        <f>Dataset!B4</f>
        <v>57.877806229999997</v>
      </c>
      <c r="K13" s="9"/>
      <c r="M13" s="12" t="s">
        <v>36</v>
      </c>
      <c r="N13" s="12">
        <f ca="1">CHOOSE(N12,F12,F13,F14)</f>
        <v>12.911891155999999</v>
      </c>
      <c r="O13" s="27" t="s">
        <v>59</v>
      </c>
    </row>
    <row r="14" spans="2:18" x14ac:dyDescent="0.6">
      <c r="B14" s="6">
        <v>3</v>
      </c>
      <c r="C14" s="6"/>
      <c r="D14" s="6" t="s">
        <v>29</v>
      </c>
      <c r="E14" s="6" t="s">
        <v>28</v>
      </c>
      <c r="F14" s="11">
        <f>'SAS Output'!B28+('SAS Output'!B29*E34)</f>
        <v>12.911891155999999</v>
      </c>
      <c r="G14" s="6"/>
      <c r="H14" s="6" t="s">
        <v>73</v>
      </c>
      <c r="I14" s="6"/>
      <c r="J14" s="8">
        <f>J13*$E$26</f>
        <v>59.035362354599997</v>
      </c>
      <c r="K14" s="9"/>
      <c r="M14" s="12" t="s">
        <v>16</v>
      </c>
      <c r="N14" s="21">
        <f ca="1">_xll.PsiTriangular(J12,J13,J14)</f>
        <v>58.217007488104493</v>
      </c>
      <c r="O14" s="21">
        <f ca="1">N14*N13</f>
        <v>751.69166411444212</v>
      </c>
    </row>
    <row r="15" spans="2:18" ht="5.8" customHeight="1" x14ac:dyDescent="0.6">
      <c r="B15" s="6"/>
      <c r="C15" s="6"/>
      <c r="D15" s="6"/>
      <c r="E15" s="6"/>
      <c r="F15" s="6"/>
      <c r="G15" s="6"/>
      <c r="H15" s="6"/>
      <c r="I15" s="6"/>
      <c r="J15" s="6"/>
      <c r="K15" s="10"/>
      <c r="M15" s="12"/>
      <c r="N15" s="12"/>
      <c r="O15" s="12"/>
    </row>
    <row r="16" spans="2:18" x14ac:dyDescent="0.6">
      <c r="B16" s="6">
        <v>1</v>
      </c>
      <c r="C16" s="6"/>
      <c r="D16" s="6" t="s">
        <v>30</v>
      </c>
      <c r="E16" s="6" t="s">
        <v>27</v>
      </c>
      <c r="F16" s="11">
        <v>0</v>
      </c>
      <c r="G16" s="6"/>
      <c r="H16" s="6" t="s">
        <v>71</v>
      </c>
      <c r="I16" s="6"/>
      <c r="J16" s="8">
        <f>J17*$E$25</f>
        <v>47.239793354599996</v>
      </c>
      <c r="K16" s="9"/>
      <c r="M16" s="12" t="s">
        <v>35</v>
      </c>
      <c r="N16" s="11">
        <f ca="1">_xll.PsiPoisson(1,_xll.PsiCensor(1, 3))</f>
        <v>1</v>
      </c>
      <c r="O16" s="11"/>
    </row>
    <row r="17" spans="2:15" x14ac:dyDescent="0.6">
      <c r="B17" s="6">
        <v>2</v>
      </c>
      <c r="C17" s="6"/>
      <c r="D17" s="6" t="s">
        <v>30</v>
      </c>
      <c r="E17" s="6" t="s">
        <v>26</v>
      </c>
      <c r="F17" s="11">
        <f>'SAS Output'!B39</f>
        <v>5.1399299169999999</v>
      </c>
      <c r="G17" s="6"/>
      <c r="H17" s="6" t="s">
        <v>72</v>
      </c>
      <c r="I17" s="6"/>
      <c r="J17" s="8">
        <f>Dataset!B7</f>
        <v>48.203870769999995</v>
      </c>
      <c r="K17" s="9"/>
      <c r="M17" s="12" t="s">
        <v>36</v>
      </c>
      <c r="N17" s="12">
        <f ca="1">CHOOSE(N16,F16,F17,F18)</f>
        <v>0</v>
      </c>
      <c r="O17" s="27" t="s">
        <v>59</v>
      </c>
    </row>
    <row r="18" spans="2:15" x14ac:dyDescent="0.6">
      <c r="B18" s="6">
        <v>3</v>
      </c>
      <c r="C18" s="6"/>
      <c r="D18" s="6" t="s">
        <v>30</v>
      </c>
      <c r="E18" s="6" t="s">
        <v>28</v>
      </c>
      <c r="F18" s="11">
        <f>'SAS Output'!B39+('SAS Output'!B40*E34)</f>
        <v>18.016852630000002</v>
      </c>
      <c r="G18" s="6"/>
      <c r="H18" s="6" t="s">
        <v>73</v>
      </c>
      <c r="I18" s="6"/>
      <c r="J18" s="8">
        <f>J17*$E$26</f>
        <v>49.167948185399993</v>
      </c>
      <c r="K18" s="9"/>
      <c r="M18" s="12" t="s">
        <v>16</v>
      </c>
      <c r="N18" s="21">
        <f ca="1">_xll.PsiTriangular(J16,J17,J18)</f>
        <v>47.351989257759215</v>
      </c>
      <c r="O18" s="21">
        <f ca="1">N18*N17</f>
        <v>0</v>
      </c>
    </row>
    <row r="19" spans="2:15" ht="5.4" customHeight="1" x14ac:dyDescent="0.6">
      <c r="B19" s="6"/>
      <c r="C19" s="6"/>
      <c r="D19" s="6"/>
      <c r="E19" s="6"/>
      <c r="F19" s="6"/>
      <c r="G19" s="6"/>
      <c r="H19" s="6"/>
      <c r="I19" s="6"/>
      <c r="J19" s="8"/>
      <c r="K19" s="9"/>
      <c r="M19" s="12"/>
      <c r="N19" s="12"/>
      <c r="O19" s="12"/>
    </row>
    <row r="20" spans="2:15" x14ac:dyDescent="0.6">
      <c r="B20" s="6">
        <v>1</v>
      </c>
      <c r="C20" s="6"/>
      <c r="D20" s="6" t="s">
        <v>31</v>
      </c>
      <c r="E20" s="6" t="s">
        <v>27</v>
      </c>
      <c r="F20" s="11">
        <v>0</v>
      </c>
      <c r="G20" s="6"/>
      <c r="H20" s="6" t="s">
        <v>71</v>
      </c>
      <c r="I20" s="6"/>
      <c r="J20" s="8">
        <f>J21*$E$25</f>
        <v>44.755121846400002</v>
      </c>
      <c r="K20" s="9"/>
      <c r="M20" s="12" t="s">
        <v>35</v>
      </c>
      <c r="N20" s="11">
        <f ca="1">_xll.PsiPoisson(1,_xll.PsiCensor(1, 3))</f>
        <v>3</v>
      </c>
      <c r="O20" s="11"/>
    </row>
    <row r="21" spans="2:15" x14ac:dyDescent="0.6">
      <c r="B21" s="6">
        <v>2</v>
      </c>
      <c r="C21" s="6"/>
      <c r="D21" s="6" t="s">
        <v>31</v>
      </c>
      <c r="E21" s="6" t="s">
        <v>26</v>
      </c>
      <c r="F21" s="11">
        <f>'SAS Output'!B50</f>
        <v>2.3342543139999998</v>
      </c>
      <c r="G21" s="6"/>
      <c r="H21" s="6" t="s">
        <v>72</v>
      </c>
      <c r="I21" s="6"/>
      <c r="J21" s="8">
        <f>Dataset!B6</f>
        <v>45.668491680000002</v>
      </c>
      <c r="K21" s="9"/>
      <c r="M21" s="12" t="s">
        <v>36</v>
      </c>
      <c r="N21" s="12">
        <f ca="1">CHOOSE(N20,F20,F21,F22)</f>
        <v>10.820388076</v>
      </c>
      <c r="O21" s="27" t="s">
        <v>59</v>
      </c>
    </row>
    <row r="22" spans="2:15" x14ac:dyDescent="0.6">
      <c r="B22" s="6">
        <v>3</v>
      </c>
      <c r="C22" s="6"/>
      <c r="D22" s="6" t="s">
        <v>31</v>
      </c>
      <c r="E22" s="6" t="s">
        <v>28</v>
      </c>
      <c r="F22" s="11">
        <f>'SAS Output'!B50+('SAS Output'!B51*E34)</f>
        <v>10.820388076</v>
      </c>
      <c r="G22" s="6"/>
      <c r="H22" s="6" t="s">
        <v>73</v>
      </c>
      <c r="I22" s="6"/>
      <c r="J22" s="8">
        <f>J21*$E$26</f>
        <v>46.581861513600003</v>
      </c>
      <c r="K22" s="9"/>
      <c r="M22" s="12" t="s">
        <v>16</v>
      </c>
      <c r="N22" s="21">
        <f ca="1">_xll.PsiTriangular(J20,J21,J22)</f>
        <v>45.283309433209531</v>
      </c>
      <c r="O22" s="21">
        <f ca="1">N22*N21</f>
        <v>489.98298143291873</v>
      </c>
    </row>
    <row r="24" spans="2:15" x14ac:dyDescent="0.6">
      <c r="B24" s="4" t="s">
        <v>21</v>
      </c>
      <c r="C24" s="4"/>
      <c r="D24" s="4" t="s">
        <v>69</v>
      </c>
      <c r="E24" s="4" t="s">
        <v>70</v>
      </c>
    </row>
    <row r="25" spans="2:15" x14ac:dyDescent="0.6">
      <c r="B25" s="12">
        <v>1</v>
      </c>
      <c r="C25" s="12"/>
      <c r="D25" s="12" t="s">
        <v>62</v>
      </c>
      <c r="E25" s="12">
        <v>0.98</v>
      </c>
    </row>
    <row r="26" spans="2:15" x14ac:dyDescent="0.6">
      <c r="B26" s="12">
        <v>2</v>
      </c>
      <c r="C26" s="12"/>
      <c r="D26" s="12" t="s">
        <v>63</v>
      </c>
      <c r="E26" s="12">
        <v>1.02</v>
      </c>
    </row>
    <row r="27" spans="2:15" x14ac:dyDescent="0.6">
      <c r="B27" s="12">
        <v>3</v>
      </c>
      <c r="C27" s="12"/>
      <c r="D27" s="12" t="s">
        <v>56</v>
      </c>
      <c r="E27" s="12">
        <v>365</v>
      </c>
    </row>
    <row r="28" spans="2:15" x14ac:dyDescent="0.6">
      <c r="B28" s="12">
        <v>4</v>
      </c>
      <c r="C28" s="12"/>
      <c r="D28" s="12" t="s">
        <v>57</v>
      </c>
      <c r="E28" s="12">
        <v>1600</v>
      </c>
    </row>
    <row r="29" spans="2:15" x14ac:dyDescent="0.6">
      <c r="B29" s="12">
        <v>5</v>
      </c>
      <c r="C29" s="12"/>
      <c r="D29" s="12" t="s">
        <v>68</v>
      </c>
      <c r="E29" s="26">
        <v>2.4902723735408559E-2</v>
      </c>
      <c r="J29" s="44"/>
    </row>
    <row r="30" spans="2:15" ht="10.5" customHeight="1" x14ac:dyDescent="0.6">
      <c r="B30" s="12">
        <v>6</v>
      </c>
      <c r="C30" s="12"/>
      <c r="D30" s="12" t="s">
        <v>67</v>
      </c>
      <c r="E30" s="26">
        <v>1.5564202334630349E-3</v>
      </c>
      <c r="J30" s="44"/>
    </row>
    <row r="31" spans="2:15" x14ac:dyDescent="0.6">
      <c r="B31" s="12">
        <v>7</v>
      </c>
      <c r="C31" s="12"/>
      <c r="D31" s="12" t="s">
        <v>66</v>
      </c>
      <c r="E31" s="26">
        <v>0.3291828793774319</v>
      </c>
      <c r="J31" s="44"/>
    </row>
    <row r="32" spans="2:15" x14ac:dyDescent="0.6">
      <c r="B32" s="12">
        <v>8</v>
      </c>
      <c r="C32" s="12"/>
      <c r="D32" s="12" t="s">
        <v>65</v>
      </c>
      <c r="E32" s="26">
        <v>0.34241245136186771</v>
      </c>
      <c r="J32" s="44"/>
    </row>
    <row r="33" spans="2:10" x14ac:dyDescent="0.6">
      <c r="B33" s="12">
        <v>9</v>
      </c>
      <c r="C33" s="12"/>
      <c r="D33" s="12" t="s">
        <v>64</v>
      </c>
      <c r="E33" s="26">
        <v>0.30194552529182878</v>
      </c>
      <c r="J33" s="44"/>
    </row>
    <row r="34" spans="2:10" x14ac:dyDescent="0.6">
      <c r="B34" s="12">
        <v>10</v>
      </c>
      <c r="C34" s="12"/>
      <c r="D34" s="12" t="s">
        <v>74</v>
      </c>
      <c r="E34" s="12">
        <v>3</v>
      </c>
    </row>
    <row r="35" spans="2:10" x14ac:dyDescent="0.6">
      <c r="B35" s="12">
        <v>11</v>
      </c>
      <c r="C35" s="12"/>
      <c r="D35" s="12" t="s">
        <v>75</v>
      </c>
      <c r="E35" s="21">
        <v>85000000</v>
      </c>
    </row>
  </sheetData>
  <mergeCells count="1">
    <mergeCell ref="M3:O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D54"/>
  <sheetViews>
    <sheetView workbookViewId="0">
      <selection activeCell="D52" sqref="D52"/>
    </sheetView>
  </sheetViews>
  <sheetFormatPr defaultRowHeight="15.6" x14ac:dyDescent="0.6"/>
  <cols>
    <col min="1" max="1" width="28.25" style="17" bestFit="1" customWidth="1"/>
    <col min="2" max="4" width="12.34765625" style="17" customWidth="1"/>
  </cols>
  <sheetData>
    <row r="1" spans="1:4" x14ac:dyDescent="0.6">
      <c r="A1" s="16" t="s">
        <v>37</v>
      </c>
    </row>
    <row r="2" spans="1:4" x14ac:dyDescent="0.6">
      <c r="A2" s="16" t="s">
        <v>38</v>
      </c>
    </row>
    <row r="3" spans="1:4" x14ac:dyDescent="0.6">
      <c r="A3" s="18"/>
    </row>
    <row r="4" spans="1:4" x14ac:dyDescent="0.6">
      <c r="A4" s="42" t="s">
        <v>39</v>
      </c>
      <c r="B4" s="42"/>
      <c r="C4" s="42"/>
      <c r="D4" s="42"/>
    </row>
    <row r="5" spans="1:4" x14ac:dyDescent="0.6">
      <c r="A5" s="40" t="s">
        <v>40</v>
      </c>
      <c r="B5" s="41">
        <v>858</v>
      </c>
      <c r="C5" s="40" t="s">
        <v>41</v>
      </c>
      <c r="D5" s="41">
        <v>858</v>
      </c>
    </row>
    <row r="6" spans="1:4" ht="24.6" x14ac:dyDescent="0.6">
      <c r="A6" s="40" t="s">
        <v>42</v>
      </c>
      <c r="B6">
        <v>0.67143221200000003</v>
      </c>
      <c r="C6" s="40" t="s">
        <v>43</v>
      </c>
      <c r="D6" s="41">
        <v>223559</v>
      </c>
    </row>
    <row r="7" spans="1:4" x14ac:dyDescent="0.6">
      <c r="A7" s="40" t="s">
        <v>44</v>
      </c>
      <c r="B7">
        <v>2.4453554500000001</v>
      </c>
      <c r="C7" s="40" t="s">
        <v>45</v>
      </c>
      <c r="D7" s="41">
        <v>396230.17700000003</v>
      </c>
    </row>
    <row r="8" spans="1:4" x14ac:dyDescent="0.6">
      <c r="A8" s="40" t="s">
        <v>46</v>
      </c>
      <c r="B8" s="41">
        <v>4.6047496900000002</v>
      </c>
      <c r="C8" s="40" t="s">
        <v>47</v>
      </c>
      <c r="D8" s="41">
        <v>26.314949599999998</v>
      </c>
    </row>
    <row r="9" spans="1:4" x14ac:dyDescent="0.6">
      <c r="A9" s="40" t="s">
        <v>48</v>
      </c>
      <c r="B9" s="41">
        <v>397819409</v>
      </c>
      <c r="C9" s="40" t="s">
        <v>49</v>
      </c>
      <c r="D9" s="41">
        <v>339569262</v>
      </c>
    </row>
    <row r="10" spans="1:4" ht="24.6" x14ac:dyDescent="0.6">
      <c r="A10" s="40" t="s">
        <v>50</v>
      </c>
      <c r="B10" s="41">
        <v>241.58440899999999</v>
      </c>
      <c r="C10" s="40" t="s">
        <v>51</v>
      </c>
      <c r="D10" s="41">
        <v>21.489688999999998</v>
      </c>
    </row>
    <row r="12" spans="1:4" x14ac:dyDescent="0.6">
      <c r="A12" s="16" t="s">
        <v>37</v>
      </c>
    </row>
    <row r="13" spans="1:4" x14ac:dyDescent="0.6">
      <c r="A13" s="16" t="s">
        <v>52</v>
      </c>
    </row>
    <row r="14" spans="1:4" x14ac:dyDescent="0.6">
      <c r="A14" s="18"/>
    </row>
    <row r="15" spans="1:4" x14ac:dyDescent="0.6">
      <c r="A15" s="42" t="s">
        <v>39</v>
      </c>
      <c r="B15" s="42"/>
      <c r="C15" s="42"/>
      <c r="D15" s="42"/>
    </row>
    <row r="16" spans="1:4" x14ac:dyDescent="0.6">
      <c r="A16" s="40" t="s">
        <v>40</v>
      </c>
      <c r="B16" s="41">
        <v>858</v>
      </c>
      <c r="C16" s="40" t="s">
        <v>41</v>
      </c>
      <c r="D16" s="41">
        <v>858</v>
      </c>
    </row>
    <row r="17" spans="1:4" ht="24.6" x14ac:dyDescent="0.6">
      <c r="A17" s="40" t="s">
        <v>42</v>
      </c>
      <c r="B17">
        <v>1.3660300000000001E-4</v>
      </c>
      <c r="C17" s="40" t="s">
        <v>43</v>
      </c>
      <c r="D17" s="41">
        <v>439</v>
      </c>
    </row>
    <row r="18" spans="1:4" x14ac:dyDescent="0.6">
      <c r="A18" s="40" t="s">
        <v>44</v>
      </c>
      <c r="B18">
        <v>1.72499E-3</v>
      </c>
      <c r="C18" s="40" t="s">
        <v>45</v>
      </c>
      <c r="D18" s="41">
        <v>33.617716999999999</v>
      </c>
    </row>
    <row r="19" spans="1:4" x14ac:dyDescent="0.6">
      <c r="A19" s="40" t="s">
        <v>46</v>
      </c>
      <c r="B19" s="41">
        <v>14.7129815</v>
      </c>
      <c r="C19" s="40" t="s">
        <v>47</v>
      </c>
      <c r="D19" s="41">
        <v>248.457111</v>
      </c>
    </row>
    <row r="20" spans="1:4" x14ac:dyDescent="0.6">
      <c r="A20" s="40" t="s">
        <v>48</v>
      </c>
      <c r="B20" s="41">
        <v>29035</v>
      </c>
      <c r="C20" s="40" t="s">
        <v>49</v>
      </c>
      <c r="D20" s="41">
        <v>28810.383399999999</v>
      </c>
    </row>
    <row r="21" spans="1:4" ht="24.6" x14ac:dyDescent="0.6">
      <c r="A21" s="40" t="s">
        <v>50</v>
      </c>
      <c r="B21" s="41">
        <v>1133.20081</v>
      </c>
      <c r="C21" s="40" t="s">
        <v>51</v>
      </c>
      <c r="D21" s="41">
        <v>0.19794313999999999</v>
      </c>
    </row>
    <row r="23" spans="1:4" x14ac:dyDescent="0.6">
      <c r="A23" s="16" t="s">
        <v>37</v>
      </c>
    </row>
    <row r="24" spans="1:4" x14ac:dyDescent="0.6">
      <c r="A24" s="16" t="s">
        <v>53</v>
      </c>
    </row>
    <row r="25" spans="1:4" x14ac:dyDescent="0.6">
      <c r="A25" s="18"/>
    </row>
    <row r="26" spans="1:4" x14ac:dyDescent="0.6">
      <c r="A26" s="33" t="s">
        <v>39</v>
      </c>
      <c r="B26" s="33"/>
      <c r="C26" s="33"/>
      <c r="D26" s="33"/>
    </row>
    <row r="27" spans="1:4" x14ac:dyDescent="0.6">
      <c r="A27" s="19" t="s">
        <v>40</v>
      </c>
      <c r="B27" s="20">
        <v>20323</v>
      </c>
      <c r="C27" s="19" t="s">
        <v>41</v>
      </c>
      <c r="D27" s="20">
        <v>20323</v>
      </c>
    </row>
    <row r="28" spans="1:4" x14ac:dyDescent="0.6">
      <c r="A28" s="19" t="s">
        <v>42</v>
      </c>
      <c r="B28">
        <v>3.2082472640000002</v>
      </c>
      <c r="C28" s="19" t="s">
        <v>43</v>
      </c>
      <c r="D28" s="20">
        <v>406103</v>
      </c>
    </row>
    <row r="29" spans="1:4" x14ac:dyDescent="0.6">
      <c r="A29" s="19" t="s">
        <v>44</v>
      </c>
      <c r="B29">
        <v>3.2345479639999999</v>
      </c>
      <c r="C29" s="19" t="s">
        <v>45</v>
      </c>
      <c r="D29" s="20">
        <v>1437.6969200000001</v>
      </c>
    </row>
    <row r="30" spans="1:4" x14ac:dyDescent="0.6">
      <c r="A30" s="19" t="s">
        <v>46</v>
      </c>
      <c r="B30" s="20">
        <v>4.9043897699999999</v>
      </c>
      <c r="C30" s="19" t="s">
        <v>47</v>
      </c>
      <c r="D30" s="20">
        <v>35.664623200000001</v>
      </c>
    </row>
    <row r="31" spans="1:4" x14ac:dyDescent="0.6">
      <c r="A31" s="19" t="s">
        <v>48</v>
      </c>
      <c r="B31" s="20">
        <v>37331803</v>
      </c>
      <c r="C31" s="19" t="s">
        <v>49</v>
      </c>
      <c r="D31" s="20">
        <v>29216876.699999999</v>
      </c>
    </row>
    <row r="32" spans="1:4" x14ac:dyDescent="0.6">
      <c r="A32" s="19" t="s">
        <v>50</v>
      </c>
      <c r="B32" s="20">
        <v>189.751532</v>
      </c>
      <c r="C32" s="19" t="s">
        <v>51</v>
      </c>
      <c r="D32" s="20">
        <v>0.26597435000000003</v>
      </c>
    </row>
    <row r="34" spans="1:4" x14ac:dyDescent="0.6">
      <c r="A34" s="16" t="s">
        <v>37</v>
      </c>
    </row>
    <row r="35" spans="1:4" x14ac:dyDescent="0.6">
      <c r="A35" s="16" t="s">
        <v>54</v>
      </c>
    </row>
    <row r="36" spans="1:4" x14ac:dyDescent="0.6">
      <c r="A36" s="18"/>
    </row>
    <row r="37" spans="1:4" x14ac:dyDescent="0.6">
      <c r="A37" s="42" t="s">
        <v>39</v>
      </c>
      <c r="B37" s="42"/>
      <c r="C37" s="42"/>
      <c r="D37" s="42"/>
    </row>
    <row r="38" spans="1:4" x14ac:dyDescent="0.6">
      <c r="A38" s="40" t="s">
        <v>40</v>
      </c>
      <c r="B38" s="41">
        <v>858</v>
      </c>
      <c r="C38" s="40" t="s">
        <v>41</v>
      </c>
      <c r="D38" s="41">
        <v>858</v>
      </c>
    </row>
    <row r="39" spans="1:4" ht="24.6" x14ac:dyDescent="0.6">
      <c r="A39" s="40" t="s">
        <v>42</v>
      </c>
      <c r="B39">
        <v>5.1399299169999999</v>
      </c>
      <c r="C39" s="40" t="s">
        <v>43</v>
      </c>
      <c r="D39" s="41">
        <v>2088569</v>
      </c>
    </row>
    <row r="40" spans="1:4" x14ac:dyDescent="0.6">
      <c r="A40" s="40" t="s">
        <v>44</v>
      </c>
      <c r="B40">
        <v>4.2923075710000003</v>
      </c>
      <c r="C40" s="40" t="s">
        <v>45</v>
      </c>
      <c r="D40" s="41">
        <v>31616982</v>
      </c>
    </row>
    <row r="41" spans="1:4" x14ac:dyDescent="0.6">
      <c r="A41" s="40" t="s">
        <v>46</v>
      </c>
      <c r="B41" s="41">
        <v>4.4088488699999999</v>
      </c>
      <c r="C41" s="40" t="s">
        <v>47</v>
      </c>
      <c r="D41" s="41">
        <v>23.155787</v>
      </c>
    </row>
    <row r="42" spans="1:4" x14ac:dyDescent="0.6">
      <c r="A42" s="40" t="s">
        <v>48</v>
      </c>
      <c r="B42" s="43">
        <v>32179800000</v>
      </c>
      <c r="C42" s="40" t="s">
        <v>49</v>
      </c>
      <c r="D42" s="43">
        <v>27095800000</v>
      </c>
    </row>
    <row r="43" spans="1:4" ht="24.6" x14ac:dyDescent="0.6">
      <c r="A43" s="40" t="s">
        <v>50</v>
      </c>
      <c r="B43" s="41">
        <v>230.992919</v>
      </c>
      <c r="C43" s="40" t="s">
        <v>51</v>
      </c>
      <c r="D43" s="41">
        <v>191.96257299999999</v>
      </c>
    </row>
    <row r="45" spans="1:4" x14ac:dyDescent="0.6">
      <c r="A45" s="16" t="s">
        <v>37</v>
      </c>
    </row>
    <row r="46" spans="1:4" x14ac:dyDescent="0.6">
      <c r="A46" s="16" t="s">
        <v>55</v>
      </c>
    </row>
    <row r="47" spans="1:4" x14ac:dyDescent="0.6">
      <c r="A47" s="18"/>
    </row>
    <row r="48" spans="1:4" x14ac:dyDescent="0.6">
      <c r="A48" s="42" t="s">
        <v>39</v>
      </c>
      <c r="B48" s="42"/>
      <c r="C48" s="42"/>
      <c r="D48" s="42"/>
    </row>
    <row r="49" spans="1:4" x14ac:dyDescent="0.6">
      <c r="A49" s="40" t="s">
        <v>40</v>
      </c>
      <c r="B49" s="41">
        <v>858</v>
      </c>
      <c r="C49" s="40" t="s">
        <v>41</v>
      </c>
      <c r="D49" s="41">
        <v>858</v>
      </c>
    </row>
    <row r="50" spans="1:4" ht="24.6" x14ac:dyDescent="0.6">
      <c r="A50" s="40" t="s">
        <v>42</v>
      </c>
      <c r="B50">
        <v>2.3342543139999998</v>
      </c>
      <c r="C50" s="40" t="s">
        <v>43</v>
      </c>
      <c r="D50" s="41">
        <v>1821656</v>
      </c>
    </row>
    <row r="51" spans="1:4" x14ac:dyDescent="0.6">
      <c r="A51" s="40" t="s">
        <v>44</v>
      </c>
      <c r="B51">
        <v>2.8287112539999999</v>
      </c>
      <c r="C51" s="40" t="s">
        <v>45</v>
      </c>
      <c r="D51" s="41">
        <v>60397066.5</v>
      </c>
    </row>
    <row r="52" spans="1:4" x14ac:dyDescent="0.6">
      <c r="A52" s="40" t="s">
        <v>46</v>
      </c>
      <c r="B52" s="41">
        <v>6.1448697499999998</v>
      </c>
      <c r="C52" s="40" t="s">
        <v>47</v>
      </c>
      <c r="D52" s="41">
        <v>42.276489099999999</v>
      </c>
    </row>
    <row r="53" spans="1:4" x14ac:dyDescent="0.6">
      <c r="A53" s="40" t="s">
        <v>48</v>
      </c>
      <c r="B53" s="43">
        <v>55627900000</v>
      </c>
      <c r="C53" s="40" t="s">
        <v>49</v>
      </c>
      <c r="D53" s="43">
        <v>51760300000</v>
      </c>
    </row>
    <row r="54" spans="1:4" ht="24.6" x14ac:dyDescent="0.6">
      <c r="A54" s="40" t="s">
        <v>50</v>
      </c>
      <c r="B54" s="41">
        <v>366.04024900000002</v>
      </c>
      <c r="C54" s="40" t="s">
        <v>51</v>
      </c>
      <c r="D54" s="41">
        <v>265.31651199999999</v>
      </c>
    </row>
  </sheetData>
  <mergeCells count="5">
    <mergeCell ref="A4:D4"/>
    <mergeCell ref="A15:D15"/>
    <mergeCell ref="A26:D26"/>
    <mergeCell ref="A37:D37"/>
    <mergeCell ref="A48:D4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Dataset</vt:lpstr>
      <vt:lpstr>Simulation Final</vt:lpstr>
      <vt:lpstr>SAS 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Siddharth</dc:creator>
  <cp:lastModifiedBy>Raman Punn</cp:lastModifiedBy>
  <dcterms:created xsi:type="dcterms:W3CDTF">2017-11-20T17:19:16Z</dcterms:created>
  <dcterms:modified xsi:type="dcterms:W3CDTF">2017-12-03T23:22:54Z</dcterms:modified>
</cp:coreProperties>
</file>