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ethplunkett/Desktop/Math425/"/>
    </mc:Choice>
  </mc:AlternateContent>
  <bookViews>
    <workbookView xWindow="1820" yWindow="460" windowWidth="22000" windowHeight="14460" tabRatio="500" activeTab="4"/>
  </bookViews>
  <sheets>
    <sheet name="1" sheetId="2" r:id="rId1"/>
    <sheet name="2" sheetId="3" r:id="rId2"/>
    <sheet name="3" sheetId="4" r:id="rId3"/>
    <sheet name="4" sheetId="6" r:id="rId4"/>
    <sheet name="5" sheetId="5" r:id="rId5"/>
  </sheets>
  <definedNames>
    <definedName name="b">'1'!$S$14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1" i="5" l="1"/>
  <c r="O10" i="5"/>
  <c r="O9" i="5"/>
  <c r="O8" i="5"/>
  <c r="M8" i="5"/>
  <c r="N8" i="5"/>
  <c r="M9" i="5"/>
  <c r="N9" i="5"/>
  <c r="M10" i="5"/>
  <c r="N10" i="5"/>
  <c r="G8" i="5"/>
  <c r="I8" i="5"/>
  <c r="H9" i="5"/>
  <c r="I9" i="5"/>
  <c r="I10" i="5"/>
  <c r="H10" i="5"/>
  <c r="G10" i="5"/>
  <c r="M14" i="5"/>
  <c r="M20" i="5"/>
  <c r="N14" i="5"/>
  <c r="N20" i="5"/>
  <c r="M15" i="5"/>
  <c r="M21" i="5"/>
  <c r="N15" i="5"/>
  <c r="N21" i="5"/>
  <c r="M24" i="5"/>
  <c r="M26" i="5"/>
  <c r="N16" i="5"/>
  <c r="N22" i="5"/>
  <c r="M16" i="5"/>
  <c r="M22" i="5"/>
  <c r="O16" i="5"/>
  <c r="O22" i="5"/>
  <c r="O15" i="5"/>
  <c r="O21" i="5"/>
  <c r="O14" i="5"/>
  <c r="O20" i="5"/>
  <c r="G28" i="5"/>
  <c r="I27" i="5"/>
  <c r="H16" i="5"/>
  <c r="I16" i="5"/>
  <c r="H28" i="5"/>
  <c r="I15" i="5"/>
  <c r="I14" i="5"/>
  <c r="G22" i="5"/>
  <c r="H22" i="5"/>
  <c r="I22" i="5"/>
  <c r="G27" i="5"/>
  <c r="H27" i="5"/>
  <c r="H26" i="5"/>
  <c r="G26" i="5"/>
  <c r="I20" i="5"/>
  <c r="I21" i="5"/>
  <c r="H21" i="5"/>
  <c r="H20" i="5"/>
  <c r="G21" i="5"/>
  <c r="G20" i="5"/>
  <c r="H14" i="5"/>
  <c r="H15" i="5"/>
  <c r="G16" i="5"/>
  <c r="G15" i="5"/>
  <c r="G14" i="5"/>
  <c r="I28" i="5"/>
  <c r="I26" i="5"/>
  <c r="G5" i="5"/>
  <c r="R6" i="4"/>
  <c r="R5" i="4"/>
  <c r="T14" i="2"/>
  <c r="G13" i="6"/>
  <c r="K5" i="6"/>
  <c r="G11" i="6"/>
  <c r="G10" i="6"/>
  <c r="G8" i="6"/>
  <c r="G7" i="6"/>
  <c r="H5" i="6"/>
  <c r="G5" i="6"/>
  <c r="H4" i="6"/>
  <c r="G4" i="6"/>
  <c r="H3" i="6"/>
  <c r="G3" i="6"/>
  <c r="H2" i="6"/>
  <c r="G2" i="6"/>
  <c r="O5" i="4"/>
  <c r="O6" i="4"/>
  <c r="O7" i="4"/>
  <c r="N7" i="4"/>
  <c r="M7" i="4"/>
  <c r="R2" i="4"/>
  <c r="R3" i="4"/>
  <c r="S2" i="4"/>
  <c r="S3" i="4"/>
  <c r="R11" i="4"/>
  <c r="R14" i="4"/>
  <c r="R13" i="4"/>
  <c r="R10" i="4"/>
  <c r="G2" i="4"/>
  <c r="K6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2" i="4"/>
  <c r="J62" i="4"/>
  <c r="H33" i="4"/>
  <c r="H34" i="4"/>
  <c r="H37" i="4"/>
  <c r="H38" i="4"/>
  <c r="H6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2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5" i="4"/>
  <c r="H36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5" i="4"/>
  <c r="G36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F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2" i="4"/>
  <c r="O1" i="4"/>
  <c r="V8" i="3"/>
  <c r="V9" i="3"/>
  <c r="R2" i="3"/>
  <c r="S2" i="3"/>
  <c r="R3" i="3"/>
  <c r="S3" i="3"/>
  <c r="R4" i="3"/>
  <c r="S4" i="3"/>
  <c r="R5" i="3"/>
  <c r="S5" i="3"/>
  <c r="R6" i="3"/>
  <c r="S6" i="3"/>
  <c r="R7" i="3"/>
  <c r="S7" i="3"/>
  <c r="R8" i="3"/>
  <c r="S8" i="3"/>
  <c r="R9" i="3"/>
  <c r="S9" i="3"/>
  <c r="R10" i="3"/>
  <c r="S10" i="3"/>
  <c r="R11" i="3"/>
  <c r="S11" i="3"/>
  <c r="R12" i="3"/>
  <c r="S12" i="3"/>
  <c r="R13" i="3"/>
  <c r="S13" i="3"/>
  <c r="R14" i="3"/>
  <c r="S14" i="3"/>
  <c r="R15" i="3"/>
  <c r="S15" i="3"/>
  <c r="R16" i="3"/>
  <c r="S16" i="3"/>
  <c r="R17" i="3"/>
  <c r="S17" i="3"/>
  <c r="R18" i="3"/>
  <c r="S18" i="3"/>
  <c r="R19" i="3"/>
  <c r="S19" i="3"/>
  <c r="R20" i="3"/>
  <c r="S20" i="3"/>
  <c r="R21" i="3"/>
  <c r="S21" i="3"/>
  <c r="R22" i="3"/>
  <c r="S22" i="3"/>
  <c r="R23" i="3"/>
  <c r="S23" i="3"/>
  <c r="R24" i="3"/>
  <c r="S24" i="3"/>
  <c r="R25" i="3"/>
  <c r="S25" i="3"/>
  <c r="R26" i="3"/>
  <c r="S26" i="3"/>
  <c r="R27" i="3"/>
  <c r="S27" i="3"/>
  <c r="R28" i="3"/>
  <c r="S28" i="3"/>
  <c r="R29" i="3"/>
  <c r="S29" i="3"/>
  <c r="R30" i="3"/>
  <c r="S30" i="3"/>
  <c r="R31" i="3"/>
  <c r="S31" i="3"/>
  <c r="R32" i="3"/>
  <c r="S32" i="3"/>
  <c r="R33" i="3"/>
  <c r="S33" i="3"/>
  <c r="R34" i="3"/>
  <c r="S34" i="3"/>
  <c r="R35" i="3"/>
  <c r="S35" i="3"/>
  <c r="R36" i="3"/>
  <c r="S36" i="3"/>
  <c r="R37" i="3"/>
  <c r="S37" i="3"/>
  <c r="R38" i="3"/>
  <c r="S38" i="3"/>
  <c r="R39" i="3"/>
  <c r="S39" i="3"/>
  <c r="R40" i="3"/>
  <c r="S40" i="3"/>
  <c r="R41" i="3"/>
  <c r="S41" i="3"/>
  <c r="R42" i="3"/>
  <c r="S42" i="3"/>
  <c r="R43" i="3"/>
  <c r="S43" i="3"/>
  <c r="R44" i="3"/>
  <c r="S44" i="3"/>
  <c r="R45" i="3"/>
  <c r="S45" i="3"/>
  <c r="R46" i="3"/>
  <c r="S46" i="3"/>
  <c r="R47" i="3"/>
  <c r="S47" i="3"/>
  <c r="R48" i="3"/>
  <c r="S48" i="3"/>
  <c r="R49" i="3"/>
  <c r="S49" i="3"/>
  <c r="R50" i="3"/>
  <c r="S50" i="3"/>
  <c r="R51" i="3"/>
  <c r="S51" i="3"/>
  <c r="R52" i="3"/>
  <c r="S52" i="3"/>
  <c r="R53" i="3"/>
  <c r="S53" i="3"/>
  <c r="R54" i="3"/>
  <c r="S54" i="3"/>
  <c r="R55" i="3"/>
  <c r="S55" i="3"/>
  <c r="R56" i="3"/>
  <c r="S56" i="3"/>
  <c r="R57" i="3"/>
  <c r="S57" i="3"/>
  <c r="R58" i="3"/>
  <c r="S58" i="3"/>
  <c r="R59" i="3"/>
  <c r="S59" i="3"/>
  <c r="R60" i="3"/>
  <c r="S60" i="3"/>
  <c r="R61" i="3"/>
  <c r="S61" i="3"/>
  <c r="V11" i="3"/>
  <c r="V5" i="3"/>
  <c r="V6" i="3"/>
  <c r="W3" i="3"/>
  <c r="V3" i="3"/>
  <c r="W2" i="3"/>
  <c r="V2" i="3"/>
  <c r="T26" i="2"/>
  <c r="T25" i="2"/>
  <c r="T23" i="2"/>
  <c r="T22" i="2"/>
  <c r="T15" i="2"/>
  <c r="T16" i="2"/>
  <c r="T17" i="2"/>
  <c r="T18" i="2"/>
  <c r="T19" i="2"/>
  <c r="T20" i="2"/>
  <c r="T11" i="2"/>
  <c r="T10" i="2"/>
  <c r="T9" i="2"/>
  <c r="T8" i="2"/>
  <c r="T7" i="2"/>
  <c r="T5" i="2"/>
  <c r="T4" i="2"/>
  <c r="M27" i="5"/>
</calcChain>
</file>

<file path=xl/sharedStrings.xml><?xml version="1.0" encoding="utf-8"?>
<sst xmlns="http://schemas.openxmlformats.org/spreadsheetml/2006/main" count="783" uniqueCount="159">
  <si>
    <t>Stephen Curry, GS</t>
  </si>
  <si>
    <t>Kevin Durant, OKC</t>
  </si>
  <si>
    <t>Boban Marjanovic, SA</t>
  </si>
  <si>
    <t>Russell Westbrook, OKC</t>
  </si>
  <si>
    <t>LeBron James, CLE</t>
  </si>
  <si>
    <t>Chris Paul, LAC</t>
  </si>
  <si>
    <t>Kawhi Leonard, SA</t>
  </si>
  <si>
    <t>Hassan Whiteside, MIA</t>
  </si>
  <si>
    <t>James Harden, HOU</t>
  </si>
  <si>
    <t>Anthony Davis, NO</t>
  </si>
  <si>
    <t>GP</t>
  </si>
  <si>
    <t>MPG</t>
  </si>
  <si>
    <t>TS%</t>
  </si>
  <si>
    <t>AST</t>
  </si>
  <si>
    <t>TO</t>
  </si>
  <si>
    <t>USG</t>
  </si>
  <si>
    <t>ORR</t>
  </si>
  <si>
    <t>DRR</t>
  </si>
  <si>
    <t>REBR</t>
  </si>
  <si>
    <t>PER</t>
  </si>
  <si>
    <t>VA</t>
  </si>
  <si>
    <t>EWA</t>
  </si>
  <si>
    <t>Enes Kanter, OKC</t>
  </si>
  <si>
    <t>DeMarcus Cousins, SAC</t>
  </si>
  <si>
    <t>Jonas Valanciunas, TOR</t>
  </si>
  <si>
    <t>Karl-Anthony Towns, MIN</t>
  </si>
  <si>
    <t>Carl Landry, PHI</t>
  </si>
  <si>
    <t>LaMarcus Aldridge, SA</t>
  </si>
  <si>
    <t>Damian Lillard, POR</t>
  </si>
  <si>
    <t>Blake Griffin, LAC</t>
  </si>
  <si>
    <t>Kyle Lowry, TOR</t>
  </si>
  <si>
    <t>Greg Monroe, MIL</t>
  </si>
  <si>
    <t>Brook Lopez, BKN</t>
  </si>
  <si>
    <t>Pau Gasol, CHI</t>
  </si>
  <si>
    <t>Derrick Favors, UTAH</t>
  </si>
  <si>
    <t>DeMar DeRozan, TOR</t>
  </si>
  <si>
    <t>Nikola Jokic, DEN</t>
  </si>
  <si>
    <t>Isaiah Thomas, BOS</t>
  </si>
  <si>
    <t>Cole Aldrich, LAC</t>
  </si>
  <si>
    <t>Paul Millsap, ATL</t>
  </si>
  <si>
    <t>Jimmy Butler, CHI</t>
  </si>
  <si>
    <t>Andre Drummond, DET</t>
  </si>
  <si>
    <t>Nikola Vucevic, ORL</t>
  </si>
  <si>
    <t>Kenneth Faried, DEN</t>
  </si>
  <si>
    <t>Paul George, IND</t>
  </si>
  <si>
    <t>Kemba Walker, CHA</t>
  </si>
  <si>
    <t>DeAndre Jordan, LAC</t>
  </si>
  <si>
    <t>Dwyane Wade, MIA</t>
  </si>
  <si>
    <t>Carmelo Anthony, NY</t>
  </si>
  <si>
    <t>Chris Bosh, MIA</t>
  </si>
  <si>
    <t>Eric Bledsoe, PHX</t>
  </si>
  <si>
    <t>Kyrie Irving, CLE</t>
  </si>
  <si>
    <t>Draft Pos</t>
  </si>
  <si>
    <t>Lottery</t>
  </si>
  <si>
    <t>Undrafted</t>
  </si>
  <si>
    <t>2'nd rd</t>
  </si>
  <si>
    <t xml:space="preserve">Lottery </t>
  </si>
  <si>
    <t>1'st rd</t>
  </si>
  <si>
    <t>Points</t>
  </si>
  <si>
    <t>Salary</t>
  </si>
  <si>
    <t>John Wall, WSH</t>
  </si>
  <si>
    <t>Jrue Holiday, NO</t>
  </si>
  <si>
    <t>David Lee, BOS/DAL</t>
  </si>
  <si>
    <t>Reggie Jackson, DET</t>
  </si>
  <si>
    <t>Al Horford, ATL</t>
  </si>
  <si>
    <t>Mike Conley, MEM</t>
  </si>
  <si>
    <t>Draymond Green, GS</t>
  </si>
  <si>
    <t>Dirk Nowitzki, DAL</t>
  </si>
  <si>
    <t>Kevin Love, CLE</t>
  </si>
  <si>
    <t>Marcin Gortat, WSH</t>
  </si>
  <si>
    <t>Danilo Gallinari, DEN</t>
  </si>
  <si>
    <t>Dwight Howard, HOU</t>
  </si>
  <si>
    <t>Giannis Antetokounmpo, MIL</t>
  </si>
  <si>
    <t>Ed Davis, POR</t>
  </si>
  <si>
    <t>Klay Thompson, GS</t>
  </si>
  <si>
    <t>John Henson, MIL</t>
  </si>
  <si>
    <t>Zach Randolph, MEM</t>
  </si>
  <si>
    <t>Gordon Hayward, UTAH</t>
  </si>
  <si>
    <t>Clint Capela, HOU</t>
  </si>
  <si>
    <t>Al Jefferson, CHA</t>
  </si>
  <si>
    <t>15,200,00</t>
  </si>
  <si>
    <t>n:</t>
  </si>
  <si>
    <t>min:</t>
  </si>
  <si>
    <t>Q1:</t>
  </si>
  <si>
    <t>med:</t>
  </si>
  <si>
    <t>Q3:</t>
  </si>
  <si>
    <t>max:</t>
  </si>
  <si>
    <t>More</t>
  </si>
  <si>
    <t>Frequency</t>
  </si>
  <si>
    <t>bins:</t>
  </si>
  <si>
    <t>IQR:</t>
  </si>
  <si>
    <t>1.5*IQR:</t>
  </si>
  <si>
    <t>floor:</t>
  </si>
  <si>
    <t>ceiling:</t>
  </si>
  <si>
    <t>r:</t>
  </si>
  <si>
    <t>r^2:</t>
  </si>
  <si>
    <t>b_0:</t>
  </si>
  <si>
    <t>b_1:</t>
  </si>
  <si>
    <t>Predicted</t>
  </si>
  <si>
    <t>Residuals</t>
  </si>
  <si>
    <t>average:</t>
  </si>
  <si>
    <t>s:</t>
  </si>
  <si>
    <t>sanity:</t>
  </si>
  <si>
    <t>Player</t>
  </si>
  <si>
    <t>Other</t>
  </si>
  <si>
    <t>x-bar:</t>
  </si>
  <si>
    <t>SE:</t>
  </si>
  <si>
    <t>test stat(t):</t>
  </si>
  <si>
    <t>alpha:</t>
  </si>
  <si>
    <t>DoF:</t>
  </si>
  <si>
    <t>ME:</t>
  </si>
  <si>
    <t>or:</t>
  </si>
  <si>
    <t>lower:</t>
  </si>
  <si>
    <t>upper:</t>
  </si>
  <si>
    <t>Total</t>
  </si>
  <si>
    <t>total</t>
  </si>
  <si>
    <t>Above ave. EWA</t>
  </si>
  <si>
    <t>Above ave. EWA/Lottery</t>
  </si>
  <si>
    <t>Below ave. EWA/Lottery</t>
  </si>
  <si>
    <t>Count</t>
  </si>
  <si>
    <t>Total:</t>
  </si>
  <si>
    <t>p-hat:</t>
  </si>
  <si>
    <t>above</t>
  </si>
  <si>
    <t>below</t>
  </si>
  <si>
    <t>z*:</t>
  </si>
  <si>
    <t>diff:</t>
  </si>
  <si>
    <t>SE(diff):</t>
  </si>
  <si>
    <t>Above ave.</t>
  </si>
  <si>
    <t>Below ave:</t>
  </si>
  <si>
    <t>p-val:</t>
  </si>
  <si>
    <t>result:</t>
  </si>
  <si>
    <t>Drafte Pos</t>
  </si>
  <si>
    <t>est(x-bar1-bar-2):</t>
  </si>
  <si>
    <t>H_0:mu1-mu2=</t>
  </si>
  <si>
    <t>H_a:mu1-mu2=/=</t>
  </si>
  <si>
    <t>0</t>
  </si>
  <si>
    <t>Stephen Curry</t>
  </si>
  <si>
    <t xml:space="preserve">guard </t>
  </si>
  <si>
    <t>forward</t>
  </si>
  <si>
    <t>Guard/Forward/Center</t>
  </si>
  <si>
    <t>center</t>
  </si>
  <si>
    <t>guards</t>
  </si>
  <si>
    <t>forwards</t>
  </si>
  <si>
    <t>1'st round</t>
  </si>
  <si>
    <t>2'nd round</t>
  </si>
  <si>
    <t>centers</t>
  </si>
  <si>
    <t>other</t>
  </si>
  <si>
    <t>actual</t>
  </si>
  <si>
    <t>by row</t>
  </si>
  <si>
    <t>by column</t>
  </si>
  <si>
    <t>exp</t>
  </si>
  <si>
    <t>diff</t>
  </si>
  <si>
    <t>stand</t>
  </si>
  <si>
    <t>test stat:</t>
  </si>
  <si>
    <t>H_0:</t>
  </si>
  <si>
    <t>H_a:</t>
  </si>
  <si>
    <t>there is no association between draft selection and player position</t>
  </si>
  <si>
    <t>there is an association between the two variables</t>
  </si>
  <si>
    <t>lottery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</si>
</sst>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'1'!$L$78:$L$85</c:f>
              <c:strCach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More</c:v>
                </c:pt>
              </c:strCache>
            </c:strRef>
          </c:cat>
          <c:val>
            <c:numRef>
              <c:f>'1'!$M$78:$M$85</c:f>
              <c:numCache>
                <c:formatCode>General</c:formatCode>
                <c:ptCount val="8"/>
                <c:pt idx="0">
                  <c:v>0.0</c:v>
                </c:pt>
                <c:pt idx="1">
                  <c:v>8.0</c:v>
                </c:pt>
                <c:pt idx="2">
                  <c:v>8.0</c:v>
                </c:pt>
                <c:pt idx="3">
                  <c:v>23.0</c:v>
                </c:pt>
                <c:pt idx="4">
                  <c:v>15.0</c:v>
                </c:pt>
                <c:pt idx="5">
                  <c:v>5.0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4400512"/>
        <c:axId val="1824403392"/>
      </c:barChart>
      <c:catAx>
        <c:axId val="182440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3392"/>
        <c:crosses val="autoZero"/>
        <c:auto val="1"/>
        <c:lblAlgn val="ctr"/>
        <c:lblOffset val="100"/>
        <c:noMultiLvlLbl val="0"/>
      </c:catAx>
      <c:valAx>
        <c:axId val="182440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'2'!$S$1</c:f>
              <c:strCache>
                <c:ptCount val="1"/>
                <c:pt idx="0">
                  <c:v>Residuals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82246281714786"/>
                  <c:y val="-0.3997798191892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'2'!$S$2:$S$61</c:f>
              <c:numCache>
                <c:formatCode>General</c:formatCode>
                <c:ptCount val="60"/>
                <c:pt idx="0">
                  <c:v>9.61503911607838</c:v>
                </c:pt>
                <c:pt idx="1">
                  <c:v>6.512048205611886</c:v>
                </c:pt>
                <c:pt idx="2">
                  <c:v>3.661398228309085</c:v>
                </c:pt>
                <c:pt idx="3">
                  <c:v>2.864665252270072</c:v>
                </c:pt>
                <c:pt idx="4">
                  <c:v>3.7624220694202</c:v>
                </c:pt>
                <c:pt idx="5">
                  <c:v>0.142843094640721</c:v>
                </c:pt>
                <c:pt idx="6">
                  <c:v>1.5420953670241</c:v>
                </c:pt>
                <c:pt idx="7">
                  <c:v>-2.450427356809659</c:v>
                </c:pt>
                <c:pt idx="8">
                  <c:v>5.582748771816298</c:v>
                </c:pt>
                <c:pt idx="9">
                  <c:v>2.837609001324356</c:v>
                </c:pt>
                <c:pt idx="10">
                  <c:v>2.139714127426982</c:v>
                </c:pt>
                <c:pt idx="11">
                  <c:v>6.114291388461758</c:v>
                </c:pt>
                <c:pt idx="12">
                  <c:v>-1.51963246778082</c:v>
                </c:pt>
                <c:pt idx="13">
                  <c:v>-0.530848382030182</c:v>
                </c:pt>
                <c:pt idx="14">
                  <c:v>3.149434586443098</c:v>
                </c:pt>
                <c:pt idx="15">
                  <c:v>0.221768664628001</c:v>
                </c:pt>
                <c:pt idx="16">
                  <c:v>3.487235137516041</c:v>
                </c:pt>
                <c:pt idx="17">
                  <c:v>1.516534571311631</c:v>
                </c:pt>
                <c:pt idx="18">
                  <c:v>-1.390194977237986</c:v>
                </c:pt>
                <c:pt idx="19">
                  <c:v>-1.500801220617969</c:v>
                </c:pt>
                <c:pt idx="20">
                  <c:v>0.490973775599162</c:v>
                </c:pt>
                <c:pt idx="21">
                  <c:v>-2.180474518221871</c:v>
                </c:pt>
                <c:pt idx="22">
                  <c:v>-2.430848382030184</c:v>
                </c:pt>
                <c:pt idx="23">
                  <c:v>1.736861273707731</c:v>
                </c:pt>
                <c:pt idx="24">
                  <c:v>-1.086594395902111</c:v>
                </c:pt>
                <c:pt idx="25">
                  <c:v>3.2187777541615</c:v>
                </c:pt>
                <c:pt idx="26">
                  <c:v>0.729107884046998</c:v>
                </c:pt>
                <c:pt idx="27">
                  <c:v>-2.257156905359277</c:v>
                </c:pt>
                <c:pt idx="28">
                  <c:v>-1.61500804533383</c:v>
                </c:pt>
                <c:pt idx="29">
                  <c:v>-3.307530769167588</c:v>
                </c:pt>
                <c:pt idx="30">
                  <c:v>-0.104539858701091</c:v>
                </c:pt>
                <c:pt idx="31">
                  <c:v>-1.293323944451728</c:v>
                </c:pt>
                <c:pt idx="32">
                  <c:v>2.163917524653452</c:v>
                </c:pt>
                <c:pt idx="33">
                  <c:v>-0.637577930579802</c:v>
                </c:pt>
                <c:pt idx="34">
                  <c:v>-7.40902622440084</c:v>
                </c:pt>
                <c:pt idx="35">
                  <c:v>1.296955596532157</c:v>
                </c:pt>
                <c:pt idx="36">
                  <c:v>0.63835672894098</c:v>
                </c:pt>
                <c:pt idx="37">
                  <c:v>-0.858652360592522</c:v>
                </c:pt>
                <c:pt idx="38">
                  <c:v>-0.0849608839216209</c:v>
                </c:pt>
                <c:pt idx="39">
                  <c:v>1.145086277490599</c:v>
                </c:pt>
                <c:pt idx="40">
                  <c:v>-2.088699522004742</c:v>
                </c:pt>
                <c:pt idx="41">
                  <c:v>0.826255030327747</c:v>
                </c:pt>
                <c:pt idx="42">
                  <c:v>1.398312995018163</c:v>
                </c:pt>
                <c:pt idx="43">
                  <c:v>0.946581732723846</c:v>
                </c:pt>
                <c:pt idx="44">
                  <c:v>-3.70603531393434</c:v>
                </c:pt>
                <c:pt idx="45">
                  <c:v>-3.079726790605246</c:v>
                </c:pt>
                <c:pt idx="46">
                  <c:v>-6.8608955434424</c:v>
                </c:pt>
                <c:pt idx="47">
                  <c:v>1.945086277490596</c:v>
                </c:pt>
                <c:pt idx="48">
                  <c:v>-2.454913722509403</c:v>
                </c:pt>
                <c:pt idx="49">
                  <c:v>-1.402296675851218</c:v>
                </c:pt>
                <c:pt idx="50">
                  <c:v>-1.3608955434424</c:v>
                </c:pt>
                <c:pt idx="51">
                  <c:v>-5.20603531393434</c:v>
                </c:pt>
                <c:pt idx="52">
                  <c:v>-4.412017134867334</c:v>
                </c:pt>
                <c:pt idx="53">
                  <c:v>-3.909912008764707</c:v>
                </c:pt>
                <c:pt idx="54">
                  <c:v>2.291721503215793</c:v>
                </c:pt>
                <c:pt idx="55">
                  <c:v>-0.402434732598463</c:v>
                </c:pt>
                <c:pt idx="56">
                  <c:v>-1.726362016330437</c:v>
                </c:pt>
                <c:pt idx="57">
                  <c:v>-2.288699522004741</c:v>
                </c:pt>
                <c:pt idx="58">
                  <c:v>-2.131734166394054</c:v>
                </c:pt>
                <c:pt idx="59">
                  <c:v>-0.289585306368608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336576"/>
        <c:axId val="-2003424672"/>
      </c:scatterChart>
      <c:valAx>
        <c:axId val="-2002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424672"/>
        <c:crosses val="autoZero"/>
        <c:crossBetween val="midCat"/>
      </c:valAx>
      <c:valAx>
        <c:axId val="-20034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33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'2'!$C$64</c:f>
              <c:strCache>
                <c:ptCount val="1"/>
                <c:pt idx="0">
                  <c:v>MPG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152283464566929"/>
                  <c:y val="0.26347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'2'!$B$65:$B$124</c:f>
              <c:numCache>
                <c:formatCode>General</c:formatCode>
                <c:ptCount val="60"/>
                <c:pt idx="0">
                  <c:v>30.1</c:v>
                </c:pt>
                <c:pt idx="1">
                  <c:v>28.2</c:v>
                </c:pt>
                <c:pt idx="2">
                  <c:v>5.5</c:v>
                </c:pt>
                <c:pt idx="3">
                  <c:v>23.5</c:v>
                </c:pt>
                <c:pt idx="4">
                  <c:v>25.3</c:v>
                </c:pt>
                <c:pt idx="5">
                  <c:v>19.5</c:v>
                </c:pt>
                <c:pt idx="6">
                  <c:v>21.2</c:v>
                </c:pt>
                <c:pt idx="7">
                  <c:v>14.2</c:v>
                </c:pt>
                <c:pt idx="8">
                  <c:v>29.0</c:v>
                </c:pt>
                <c:pt idx="9">
                  <c:v>24.3</c:v>
                </c:pt>
                <c:pt idx="10">
                  <c:v>12.7</c:v>
                </c:pt>
                <c:pt idx="11">
                  <c:v>26.9</c:v>
                </c:pt>
                <c:pt idx="12">
                  <c:v>12.8</c:v>
                </c:pt>
                <c:pt idx="13">
                  <c:v>18.3</c:v>
                </c:pt>
                <c:pt idx="14">
                  <c:v>9.8</c:v>
                </c:pt>
                <c:pt idx="15">
                  <c:v>18.0</c:v>
                </c:pt>
                <c:pt idx="16">
                  <c:v>25.1</c:v>
                </c:pt>
                <c:pt idx="17">
                  <c:v>21.4</c:v>
                </c:pt>
                <c:pt idx="18">
                  <c:v>21.2</c:v>
                </c:pt>
                <c:pt idx="19">
                  <c:v>15.3</c:v>
                </c:pt>
                <c:pt idx="20">
                  <c:v>20.6</c:v>
                </c:pt>
                <c:pt idx="21">
                  <c:v>16.5</c:v>
                </c:pt>
                <c:pt idx="22">
                  <c:v>16.4</c:v>
                </c:pt>
                <c:pt idx="23">
                  <c:v>23.5</c:v>
                </c:pt>
                <c:pt idx="24">
                  <c:v>10.0</c:v>
                </c:pt>
                <c:pt idx="25">
                  <c:v>22.2</c:v>
                </c:pt>
                <c:pt idx="26">
                  <c:v>5.5</c:v>
                </c:pt>
                <c:pt idx="27">
                  <c:v>17.1</c:v>
                </c:pt>
                <c:pt idx="28">
                  <c:v>20.9</c:v>
                </c:pt>
                <c:pt idx="29">
                  <c:v>16.2</c:v>
                </c:pt>
                <c:pt idx="30">
                  <c:v>18.2</c:v>
                </c:pt>
                <c:pt idx="31">
                  <c:v>12.5</c:v>
                </c:pt>
                <c:pt idx="32">
                  <c:v>23.1</c:v>
                </c:pt>
                <c:pt idx="33">
                  <c:v>20.9</c:v>
                </c:pt>
                <c:pt idx="34">
                  <c:v>12.7</c:v>
                </c:pt>
                <c:pt idx="35">
                  <c:v>19.0</c:v>
                </c:pt>
                <c:pt idx="36">
                  <c:v>21.8</c:v>
                </c:pt>
                <c:pt idx="37">
                  <c:v>19.1</c:v>
                </c:pt>
                <c:pt idx="38">
                  <c:v>20.4</c:v>
                </c:pt>
                <c:pt idx="39">
                  <c:v>19.6</c:v>
                </c:pt>
                <c:pt idx="40">
                  <c:v>19.9</c:v>
                </c:pt>
                <c:pt idx="41">
                  <c:v>16.8</c:v>
                </c:pt>
                <c:pt idx="42">
                  <c:v>8.5</c:v>
                </c:pt>
                <c:pt idx="43">
                  <c:v>18.8</c:v>
                </c:pt>
                <c:pt idx="44">
                  <c:v>15.2</c:v>
                </c:pt>
                <c:pt idx="45">
                  <c:v>15.3</c:v>
                </c:pt>
                <c:pt idx="46">
                  <c:v>14.0</c:v>
                </c:pt>
                <c:pt idx="47">
                  <c:v>20.4</c:v>
                </c:pt>
                <c:pt idx="48">
                  <c:v>16.0</c:v>
                </c:pt>
                <c:pt idx="49">
                  <c:v>16.0</c:v>
                </c:pt>
                <c:pt idx="50">
                  <c:v>19.5</c:v>
                </c:pt>
                <c:pt idx="51">
                  <c:v>13.7</c:v>
                </c:pt>
                <c:pt idx="52">
                  <c:v>16.9</c:v>
                </c:pt>
                <c:pt idx="53">
                  <c:v>6.5</c:v>
                </c:pt>
                <c:pt idx="54">
                  <c:v>22.1</c:v>
                </c:pt>
                <c:pt idx="55">
                  <c:v>7.0</c:v>
                </c:pt>
                <c:pt idx="56">
                  <c:v>15.3</c:v>
                </c:pt>
                <c:pt idx="57">
                  <c:v>19.7</c:v>
                </c:pt>
                <c:pt idx="58">
                  <c:v>7.0</c:v>
                </c:pt>
                <c:pt idx="59">
                  <c:v>12.0</c:v>
                </c:pt>
              </c:numCache>
            </c:numRef>
          </c:xVal>
          <c:yVal>
            <c:numRef>
              <c:f>'2'!$C$65:$C$124</c:f>
              <c:numCache>
                <c:formatCode>General</c:formatCode>
                <c:ptCount val="60"/>
                <c:pt idx="0">
                  <c:v>34.2</c:v>
                </c:pt>
                <c:pt idx="1">
                  <c:v>35.8</c:v>
                </c:pt>
                <c:pt idx="2">
                  <c:v>9.4</c:v>
                </c:pt>
                <c:pt idx="3">
                  <c:v>34.4</c:v>
                </c:pt>
                <c:pt idx="4">
                  <c:v>35.6</c:v>
                </c:pt>
                <c:pt idx="5">
                  <c:v>32.7</c:v>
                </c:pt>
                <c:pt idx="6">
                  <c:v>33.1</c:v>
                </c:pt>
                <c:pt idx="7">
                  <c:v>29.1</c:v>
                </c:pt>
                <c:pt idx="8">
                  <c:v>38.1</c:v>
                </c:pt>
                <c:pt idx="9">
                  <c:v>35.5</c:v>
                </c:pt>
                <c:pt idx="10">
                  <c:v>21.0</c:v>
                </c:pt>
                <c:pt idx="11">
                  <c:v>34.6</c:v>
                </c:pt>
                <c:pt idx="12">
                  <c:v>26.0</c:v>
                </c:pt>
                <c:pt idx="13">
                  <c:v>32.0</c:v>
                </c:pt>
                <c:pt idx="14">
                  <c:v>15.8</c:v>
                </c:pt>
                <c:pt idx="15">
                  <c:v>30.6</c:v>
                </c:pt>
                <c:pt idx="16">
                  <c:v>35.7</c:v>
                </c:pt>
                <c:pt idx="17">
                  <c:v>33.4</c:v>
                </c:pt>
                <c:pt idx="18">
                  <c:v>37.0</c:v>
                </c:pt>
                <c:pt idx="19">
                  <c:v>29.3</c:v>
                </c:pt>
                <c:pt idx="20">
                  <c:v>33.7</c:v>
                </c:pt>
                <c:pt idx="21">
                  <c:v>31.8</c:v>
                </c:pt>
                <c:pt idx="22">
                  <c:v>32.0</c:v>
                </c:pt>
                <c:pt idx="23">
                  <c:v>35.9</c:v>
                </c:pt>
                <c:pt idx="24">
                  <c:v>21.7</c:v>
                </c:pt>
                <c:pt idx="25">
                  <c:v>32.2</c:v>
                </c:pt>
                <c:pt idx="26">
                  <c:v>13.3</c:v>
                </c:pt>
                <c:pt idx="27">
                  <c:v>32.7</c:v>
                </c:pt>
                <c:pt idx="28">
                  <c:v>36.9</c:v>
                </c:pt>
                <c:pt idx="29">
                  <c:v>32.9</c:v>
                </c:pt>
                <c:pt idx="30">
                  <c:v>31.3</c:v>
                </c:pt>
                <c:pt idx="31">
                  <c:v>25.3</c:v>
                </c:pt>
                <c:pt idx="32">
                  <c:v>34.8</c:v>
                </c:pt>
                <c:pt idx="33">
                  <c:v>35.6</c:v>
                </c:pt>
                <c:pt idx="34">
                  <c:v>33.7</c:v>
                </c:pt>
                <c:pt idx="35">
                  <c:v>30.5</c:v>
                </c:pt>
                <c:pt idx="36">
                  <c:v>35.1</c:v>
                </c:pt>
                <c:pt idx="37">
                  <c:v>33.5</c:v>
                </c:pt>
                <c:pt idx="38">
                  <c:v>34.2</c:v>
                </c:pt>
                <c:pt idx="39">
                  <c:v>31.5</c:v>
                </c:pt>
                <c:pt idx="40">
                  <c:v>36.2</c:v>
                </c:pt>
                <c:pt idx="41">
                  <c:v>28.2</c:v>
                </c:pt>
                <c:pt idx="42">
                  <c:v>16.4</c:v>
                </c:pt>
                <c:pt idx="43">
                  <c:v>30.7</c:v>
                </c:pt>
                <c:pt idx="44">
                  <c:v>32.1</c:v>
                </c:pt>
                <c:pt idx="45">
                  <c:v>31.4</c:v>
                </c:pt>
                <c:pt idx="46">
                  <c:v>34.7</c:v>
                </c:pt>
                <c:pt idx="47">
                  <c:v>31.5</c:v>
                </c:pt>
                <c:pt idx="48">
                  <c:v>31.5</c:v>
                </c:pt>
                <c:pt idx="49">
                  <c:v>30.1</c:v>
                </c:pt>
                <c:pt idx="50">
                  <c:v>34.7</c:v>
                </c:pt>
                <c:pt idx="51">
                  <c:v>32.1</c:v>
                </c:pt>
                <c:pt idx="52">
                  <c:v>35.3</c:v>
                </c:pt>
                <c:pt idx="53">
                  <c:v>20.8</c:v>
                </c:pt>
                <c:pt idx="54">
                  <c:v>33.3</c:v>
                </c:pt>
                <c:pt idx="55">
                  <c:v>16.8</c:v>
                </c:pt>
                <c:pt idx="56">
                  <c:v>29.6</c:v>
                </c:pt>
                <c:pt idx="57">
                  <c:v>36.2</c:v>
                </c:pt>
                <c:pt idx="58">
                  <c:v>19.1</c:v>
                </c:pt>
                <c:pt idx="59">
                  <c:v>23.3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11568"/>
        <c:axId val="1829781792"/>
      </c:scatterChart>
      <c:valAx>
        <c:axId val="182981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781792"/>
        <c:crosses val="autoZero"/>
        <c:crossBetween val="midCat"/>
      </c:valAx>
      <c:valAx>
        <c:axId val="18297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8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711200</xdr:colOff>
      <xdr:row>27</xdr:row>
      <xdr:rowOff>50800</xdr:rowOff>
    </xdr:from>
    <xdr:ext cx="4827860" cy="609013"/>
    <xdr:sp macro="" textlink="">
      <xdr:nvSpPr>
        <xdr:cNvPr id="4" name="TextBox 3"/>
        <xdr:cNvSpPr txBox="1"/>
      </xdr:nvSpPr>
      <xdr:spPr>
        <a:xfrm>
          <a:off x="29489400" y="5537200"/>
          <a:ext cx="482786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/>
            <a:t>Outliers: there are no real outliers, as there are several players averaging below</a:t>
          </a:r>
        </a:p>
        <a:p>
          <a:r>
            <a:rPr lang="en-US" sz="1100" baseline="0"/>
            <a:t>10 points a game with none below 5.5, and several approaching 30 with only one</a:t>
          </a:r>
        </a:p>
        <a:p>
          <a:r>
            <a:rPr lang="en-US" sz="1100" baseline="0"/>
            <a:t>slightly eclipsing 30</a:t>
          </a:r>
        </a:p>
      </xdr:txBody>
    </xdr:sp>
    <xdr:clientData/>
  </xdr:oneCellAnchor>
  <xdr:twoCellAnchor>
    <xdr:from>
      <xdr:col>17</xdr:col>
      <xdr:colOff>571500</xdr:colOff>
      <xdr:row>30</xdr:row>
      <xdr:rowOff>88900</xdr:rowOff>
    </xdr:from>
    <xdr:to>
      <xdr:col>20</xdr:col>
      <xdr:colOff>679450</xdr:colOff>
      <xdr:row>41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234950</xdr:colOff>
      <xdr:row>26</xdr:row>
      <xdr:rowOff>44450</xdr:rowOff>
    </xdr:from>
    <xdr:to>
      <xdr:col>24</xdr:col>
      <xdr:colOff>552450</xdr:colOff>
      <xdr:row>39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279400</xdr:colOff>
      <xdr:row>12</xdr:row>
      <xdr:rowOff>25400</xdr:rowOff>
    </xdr:from>
    <xdr:to>
      <xdr:col>24</xdr:col>
      <xdr:colOff>596900</xdr:colOff>
      <xdr:row>25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showFormulas="1" topLeftCell="P16" workbookViewId="0">
      <selection activeCell="Q24" sqref="Q24"/>
    </sheetView>
  </sheetViews>
  <sheetFormatPr baseColWidth="10" defaultRowHeight="16" x14ac:dyDescent="0.2"/>
  <sheetData>
    <row r="1" spans="1:20" x14ac:dyDescent="0.2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52</v>
      </c>
      <c r="P1" t="s">
        <v>59</v>
      </c>
      <c r="Q1" t="s">
        <v>58</v>
      </c>
      <c r="R1" t="s">
        <v>139</v>
      </c>
    </row>
    <row r="2" spans="1:20" x14ac:dyDescent="0.2">
      <c r="A2">
        <v>1</v>
      </c>
      <c r="B2" t="s">
        <v>136</v>
      </c>
      <c r="C2">
        <v>79</v>
      </c>
      <c r="D2">
        <v>34.200000000000003</v>
      </c>
      <c r="E2">
        <v>0.66900000000000004</v>
      </c>
      <c r="F2">
        <v>20.6</v>
      </c>
      <c r="G2">
        <v>10.199999999999999</v>
      </c>
      <c r="H2">
        <v>31.6</v>
      </c>
      <c r="I2">
        <v>2.9</v>
      </c>
      <c r="J2">
        <v>13.6</v>
      </c>
      <c r="K2">
        <v>8.6</v>
      </c>
      <c r="L2">
        <v>31.56</v>
      </c>
      <c r="M2">
        <v>828.6</v>
      </c>
      <c r="N2">
        <v>27.6</v>
      </c>
      <c r="O2" t="s">
        <v>53</v>
      </c>
      <c r="P2" s="1">
        <v>11370786</v>
      </c>
      <c r="Q2">
        <v>30.1</v>
      </c>
      <c r="R2" t="s">
        <v>137</v>
      </c>
    </row>
    <row r="3" spans="1:20" x14ac:dyDescent="0.2">
      <c r="A3">
        <v>2</v>
      </c>
      <c r="B3" t="s">
        <v>1</v>
      </c>
      <c r="C3">
        <v>72</v>
      </c>
      <c r="D3">
        <v>35.799999999999997</v>
      </c>
      <c r="E3">
        <v>0.63400000000000001</v>
      </c>
      <c r="F3">
        <v>16.3</v>
      </c>
      <c r="G3">
        <v>11.3</v>
      </c>
      <c r="H3">
        <v>30.2</v>
      </c>
      <c r="I3">
        <v>2</v>
      </c>
      <c r="J3">
        <v>21.8</v>
      </c>
      <c r="K3">
        <v>12.4</v>
      </c>
      <c r="L3">
        <v>28.25</v>
      </c>
      <c r="M3">
        <v>682.8</v>
      </c>
      <c r="N3">
        <v>22.8</v>
      </c>
      <c r="O3" t="s">
        <v>53</v>
      </c>
      <c r="P3" s="1">
        <v>20158622</v>
      </c>
      <c r="Q3">
        <v>28.2</v>
      </c>
      <c r="R3" t="s">
        <v>138</v>
      </c>
      <c r="S3" t="s">
        <v>81</v>
      </c>
      <c r="T3">
        <v>60</v>
      </c>
    </row>
    <row r="4" spans="1:20" x14ac:dyDescent="0.2">
      <c r="A4">
        <v>3</v>
      </c>
      <c r="B4" t="s">
        <v>2</v>
      </c>
      <c r="C4">
        <v>54</v>
      </c>
      <c r="D4">
        <v>9.4</v>
      </c>
      <c r="E4">
        <v>0.66200000000000003</v>
      </c>
      <c r="F4">
        <v>7.7</v>
      </c>
      <c r="G4">
        <v>10.6</v>
      </c>
      <c r="H4">
        <v>21</v>
      </c>
      <c r="I4">
        <v>16.899999999999999</v>
      </c>
      <c r="J4">
        <v>26.2</v>
      </c>
      <c r="K4">
        <v>21.7</v>
      </c>
      <c r="L4">
        <v>27.77</v>
      </c>
      <c r="M4">
        <v>130.19999999999999</v>
      </c>
      <c r="N4">
        <v>4.3</v>
      </c>
      <c r="O4" t="s">
        <v>54</v>
      </c>
      <c r="P4" s="1">
        <v>1200000</v>
      </c>
      <c r="Q4">
        <v>5.5</v>
      </c>
      <c r="R4" t="s">
        <v>140</v>
      </c>
      <c r="S4" t="s">
        <v>100</v>
      </c>
      <c r="T4">
        <f>AVERAGE(Q:Q)</f>
        <v>17.651666666666664</v>
      </c>
    </row>
    <row r="5" spans="1:20" x14ac:dyDescent="0.2">
      <c r="A5">
        <v>4</v>
      </c>
      <c r="B5" t="s">
        <v>3</v>
      </c>
      <c r="C5">
        <v>80</v>
      </c>
      <c r="D5">
        <v>34.4</v>
      </c>
      <c r="E5">
        <v>0.55400000000000005</v>
      </c>
      <c r="F5">
        <v>29</v>
      </c>
      <c r="G5">
        <v>11.9</v>
      </c>
      <c r="H5">
        <v>33.299999999999997</v>
      </c>
      <c r="I5">
        <v>6.1</v>
      </c>
      <c r="J5">
        <v>18.100000000000001</v>
      </c>
      <c r="K5">
        <v>12.4</v>
      </c>
      <c r="L5">
        <v>27.64</v>
      </c>
      <c r="M5">
        <v>683</v>
      </c>
      <c r="N5">
        <v>22.8</v>
      </c>
      <c r="O5" t="s">
        <v>53</v>
      </c>
      <c r="P5" s="1">
        <v>16744218</v>
      </c>
      <c r="Q5">
        <v>23.5</v>
      </c>
      <c r="R5" t="s">
        <v>137</v>
      </c>
      <c r="S5" t="s">
        <v>101</v>
      </c>
      <c r="T5">
        <f>_xlfn.STDEV.S(Q:Q)</f>
        <v>5.7662222649703354</v>
      </c>
    </row>
    <row r="6" spans="1:20" x14ac:dyDescent="0.2">
      <c r="A6">
        <v>5</v>
      </c>
      <c r="B6" t="s">
        <v>4</v>
      </c>
      <c r="C6">
        <v>76</v>
      </c>
      <c r="D6">
        <v>35.6</v>
      </c>
      <c r="E6">
        <v>0.58799999999999997</v>
      </c>
      <c r="F6">
        <v>21.5</v>
      </c>
      <c r="G6">
        <v>10.4</v>
      </c>
      <c r="H6">
        <v>31.1</v>
      </c>
      <c r="I6">
        <v>4.7</v>
      </c>
      <c r="J6">
        <v>18.8</v>
      </c>
      <c r="K6">
        <v>11.8</v>
      </c>
      <c r="L6">
        <v>27.64</v>
      </c>
      <c r="M6">
        <v>692.9</v>
      </c>
      <c r="N6">
        <v>23.1</v>
      </c>
      <c r="O6" t="s">
        <v>53</v>
      </c>
      <c r="P6" s="1">
        <v>22970500</v>
      </c>
      <c r="Q6">
        <v>25.3</v>
      </c>
      <c r="R6" t="s">
        <v>138</v>
      </c>
    </row>
    <row r="7" spans="1:20" x14ac:dyDescent="0.2">
      <c r="A7">
        <v>6</v>
      </c>
      <c r="B7" t="s">
        <v>5</v>
      </c>
      <c r="C7">
        <v>74</v>
      </c>
      <c r="D7">
        <v>32.700000000000003</v>
      </c>
      <c r="E7">
        <v>0.57499999999999996</v>
      </c>
      <c r="F7">
        <v>33.700000000000003</v>
      </c>
      <c r="G7">
        <v>8.9</v>
      </c>
      <c r="H7">
        <v>28.1</v>
      </c>
      <c r="I7">
        <v>1.8</v>
      </c>
      <c r="J7">
        <v>12</v>
      </c>
      <c r="K7">
        <v>7</v>
      </c>
      <c r="L7">
        <v>26.31</v>
      </c>
      <c r="M7">
        <v>552.79999999999995</v>
      </c>
      <c r="N7">
        <v>18.399999999999999</v>
      </c>
      <c r="O7" t="s">
        <v>53</v>
      </c>
      <c r="P7" s="1">
        <v>21468695</v>
      </c>
      <c r="Q7">
        <v>19.5</v>
      </c>
      <c r="R7" t="s">
        <v>137</v>
      </c>
      <c r="S7" t="s">
        <v>82</v>
      </c>
      <c r="T7">
        <f>MIN(Q:Q)</f>
        <v>5.5</v>
      </c>
    </row>
    <row r="8" spans="1:20" x14ac:dyDescent="0.2">
      <c r="A8">
        <v>7</v>
      </c>
      <c r="B8" t="s">
        <v>6</v>
      </c>
      <c r="C8">
        <v>72</v>
      </c>
      <c r="D8">
        <v>33.1</v>
      </c>
      <c r="E8">
        <v>0.61599999999999999</v>
      </c>
      <c r="F8">
        <v>12.2</v>
      </c>
      <c r="G8">
        <v>6.9</v>
      </c>
      <c r="H8">
        <v>24.2</v>
      </c>
      <c r="I8">
        <v>4.7</v>
      </c>
      <c r="J8">
        <v>18.399999999999999</v>
      </c>
      <c r="K8">
        <v>11.8</v>
      </c>
      <c r="L8">
        <v>26.11</v>
      </c>
      <c r="M8">
        <v>554.6</v>
      </c>
      <c r="N8">
        <v>18.5</v>
      </c>
      <c r="O8" t="s">
        <v>53</v>
      </c>
      <c r="P8" s="1">
        <v>16407500</v>
      </c>
      <c r="Q8">
        <v>21.2</v>
      </c>
      <c r="R8" t="s">
        <v>140</v>
      </c>
      <c r="S8" t="s">
        <v>83</v>
      </c>
      <c r="T8">
        <f>_xlfn.QUARTILE.INC(Q:Q,1)</f>
        <v>14.149999999999999</v>
      </c>
    </row>
    <row r="9" spans="1:20" x14ac:dyDescent="0.2">
      <c r="A9">
        <v>8</v>
      </c>
      <c r="B9" t="s">
        <v>7</v>
      </c>
      <c r="C9">
        <v>73</v>
      </c>
      <c r="D9">
        <v>29.1</v>
      </c>
      <c r="E9">
        <v>0.629</v>
      </c>
      <c r="F9">
        <v>2.9</v>
      </c>
      <c r="G9">
        <v>13.8</v>
      </c>
      <c r="H9">
        <v>18.8</v>
      </c>
      <c r="I9">
        <v>13.1</v>
      </c>
      <c r="J9">
        <v>32.4</v>
      </c>
      <c r="K9">
        <v>23.1</v>
      </c>
      <c r="L9">
        <v>25.69</v>
      </c>
      <c r="M9">
        <v>478.5</v>
      </c>
      <c r="N9">
        <v>16</v>
      </c>
      <c r="O9" t="s">
        <v>55</v>
      </c>
      <c r="P9" s="1">
        <v>981348</v>
      </c>
      <c r="Q9">
        <v>14.2</v>
      </c>
      <c r="R9" t="s">
        <v>138</v>
      </c>
      <c r="S9" t="s">
        <v>84</v>
      </c>
      <c r="T9">
        <f>MEDIAN(Q:Q)</f>
        <v>18.25</v>
      </c>
    </row>
    <row r="10" spans="1:20" x14ac:dyDescent="0.2">
      <c r="A10">
        <v>9</v>
      </c>
      <c r="B10" t="s">
        <v>8</v>
      </c>
      <c r="C10">
        <v>82</v>
      </c>
      <c r="D10">
        <v>38.1</v>
      </c>
      <c r="E10">
        <v>0.59799999999999998</v>
      </c>
      <c r="F10">
        <v>20.6</v>
      </c>
      <c r="G10">
        <v>12.6</v>
      </c>
      <c r="H10">
        <v>32.200000000000003</v>
      </c>
      <c r="I10">
        <v>2.2000000000000002</v>
      </c>
      <c r="J10">
        <v>15.6</v>
      </c>
      <c r="K10">
        <v>8.8000000000000007</v>
      </c>
      <c r="L10">
        <v>25.36</v>
      </c>
      <c r="M10">
        <v>693.1</v>
      </c>
      <c r="N10">
        <v>23.1</v>
      </c>
      <c r="O10" t="s">
        <v>56</v>
      </c>
      <c r="P10" s="1">
        <v>15756438</v>
      </c>
      <c r="Q10">
        <v>29</v>
      </c>
      <c r="R10" t="s">
        <v>137</v>
      </c>
      <c r="S10" t="s">
        <v>85</v>
      </c>
      <c r="T10">
        <f>_xlfn.QUARTILE.INC(Q:Q,3)</f>
        <v>21.2</v>
      </c>
    </row>
    <row r="11" spans="1:20" x14ac:dyDescent="0.2">
      <c r="A11">
        <v>10</v>
      </c>
      <c r="B11" t="s">
        <v>9</v>
      </c>
      <c r="C11">
        <v>61</v>
      </c>
      <c r="D11">
        <v>35.5</v>
      </c>
      <c r="E11">
        <v>0.55900000000000005</v>
      </c>
      <c r="F11">
        <v>7.4</v>
      </c>
      <c r="G11">
        <v>7.7</v>
      </c>
      <c r="H11">
        <v>27.2</v>
      </c>
      <c r="I11">
        <v>6.4</v>
      </c>
      <c r="J11">
        <v>26.4</v>
      </c>
      <c r="K11">
        <v>16.100000000000001</v>
      </c>
      <c r="L11">
        <v>25.1</v>
      </c>
      <c r="M11">
        <v>439.1</v>
      </c>
      <c r="N11">
        <v>14.6</v>
      </c>
      <c r="O11" t="s">
        <v>56</v>
      </c>
      <c r="P11" s="1">
        <v>7070730</v>
      </c>
      <c r="Q11">
        <v>24.3</v>
      </c>
      <c r="R11" t="s">
        <v>138</v>
      </c>
      <c r="S11" t="s">
        <v>86</v>
      </c>
      <c r="T11">
        <f>MAX(Q:Q)</f>
        <v>30.1</v>
      </c>
    </row>
    <row r="12" spans="1:20" x14ac:dyDescent="0.2">
      <c r="A12">
        <v>11</v>
      </c>
      <c r="B12" t="s">
        <v>22</v>
      </c>
      <c r="C12">
        <v>82</v>
      </c>
      <c r="D12">
        <v>21</v>
      </c>
      <c r="E12">
        <v>0.626</v>
      </c>
      <c r="F12">
        <v>3.4</v>
      </c>
      <c r="G12">
        <v>11.8</v>
      </c>
      <c r="H12">
        <v>21.9</v>
      </c>
      <c r="I12">
        <v>16.7</v>
      </c>
      <c r="J12">
        <v>24.9</v>
      </c>
      <c r="K12">
        <v>21</v>
      </c>
      <c r="L12">
        <v>24.09</v>
      </c>
      <c r="M12">
        <v>346.5</v>
      </c>
      <c r="N12">
        <v>11.6</v>
      </c>
      <c r="O12" t="s">
        <v>56</v>
      </c>
      <c r="P12" s="1">
        <v>16407500</v>
      </c>
      <c r="Q12">
        <v>12.7</v>
      </c>
      <c r="R12" t="s">
        <v>138</v>
      </c>
    </row>
    <row r="13" spans="1:20" x14ac:dyDescent="0.2">
      <c r="A13">
        <v>12</v>
      </c>
      <c r="B13" t="s">
        <v>23</v>
      </c>
      <c r="C13">
        <v>65</v>
      </c>
      <c r="D13">
        <v>34.6</v>
      </c>
      <c r="E13">
        <v>0.53800000000000003</v>
      </c>
      <c r="F13">
        <v>10.3</v>
      </c>
      <c r="G13">
        <v>11.9</v>
      </c>
      <c r="H13">
        <v>33.200000000000003</v>
      </c>
      <c r="I13">
        <v>7.7</v>
      </c>
      <c r="J13">
        <v>28.2</v>
      </c>
      <c r="K13">
        <v>18</v>
      </c>
      <c r="L13">
        <v>23.67</v>
      </c>
      <c r="M13">
        <v>438</v>
      </c>
      <c r="N13">
        <v>14.6</v>
      </c>
      <c r="O13" t="s">
        <v>56</v>
      </c>
      <c r="P13" s="1">
        <v>15851950</v>
      </c>
      <c r="Q13">
        <v>26.9</v>
      </c>
      <c r="R13" t="s">
        <v>140</v>
      </c>
      <c r="S13" t="s">
        <v>89</v>
      </c>
      <c r="T13">
        <v>0</v>
      </c>
    </row>
    <row r="14" spans="1:20" x14ac:dyDescent="0.2">
      <c r="A14">
        <v>13</v>
      </c>
      <c r="B14" t="s">
        <v>24</v>
      </c>
      <c r="C14">
        <v>60</v>
      </c>
      <c r="D14">
        <v>26</v>
      </c>
      <c r="E14">
        <v>0.61</v>
      </c>
      <c r="F14">
        <v>5.6</v>
      </c>
      <c r="G14">
        <v>11.2</v>
      </c>
      <c r="H14">
        <v>19.3</v>
      </c>
      <c r="I14">
        <v>13.8</v>
      </c>
      <c r="J14">
        <v>26.3</v>
      </c>
      <c r="K14">
        <v>20.100000000000001</v>
      </c>
      <c r="L14">
        <v>22.63</v>
      </c>
      <c r="M14">
        <v>279.60000000000002</v>
      </c>
      <c r="N14">
        <v>9.3000000000000007</v>
      </c>
      <c r="O14" t="s">
        <v>53</v>
      </c>
      <c r="P14" s="1">
        <v>4660000</v>
      </c>
      <c r="Q14">
        <v>12.8</v>
      </c>
      <c r="R14" t="s">
        <v>140</v>
      </c>
      <c r="T14">
        <f>T13+5</f>
        <v>5</v>
      </c>
    </row>
    <row r="15" spans="1:20" x14ac:dyDescent="0.2">
      <c r="A15">
        <v>14</v>
      </c>
      <c r="B15" t="s">
        <v>25</v>
      </c>
      <c r="C15">
        <v>82</v>
      </c>
      <c r="D15">
        <v>32</v>
      </c>
      <c r="E15">
        <v>0.59</v>
      </c>
      <c r="F15">
        <v>10</v>
      </c>
      <c r="G15">
        <v>11.3</v>
      </c>
      <c r="H15">
        <v>23.1</v>
      </c>
      <c r="I15">
        <v>10.199999999999999</v>
      </c>
      <c r="J15">
        <v>27.5</v>
      </c>
      <c r="K15">
        <v>19</v>
      </c>
      <c r="L15">
        <v>22.59</v>
      </c>
      <c r="M15">
        <v>469.9</v>
      </c>
      <c r="N15">
        <v>15.7</v>
      </c>
      <c r="O15" t="s">
        <v>53</v>
      </c>
      <c r="P15" s="1">
        <v>5703600</v>
      </c>
      <c r="Q15">
        <v>18.3</v>
      </c>
      <c r="R15" t="s">
        <v>140</v>
      </c>
      <c r="T15">
        <f>T14+5</f>
        <v>10</v>
      </c>
    </row>
    <row r="16" spans="1:20" x14ac:dyDescent="0.2">
      <c r="A16">
        <v>15</v>
      </c>
      <c r="B16" t="s">
        <v>26</v>
      </c>
      <c r="C16">
        <v>36</v>
      </c>
      <c r="D16">
        <v>15.8</v>
      </c>
      <c r="E16">
        <v>0.60499999999999998</v>
      </c>
      <c r="F16">
        <v>9.3000000000000007</v>
      </c>
      <c r="G16">
        <v>6.4</v>
      </c>
      <c r="H16">
        <v>22.2</v>
      </c>
      <c r="I16">
        <v>9.1</v>
      </c>
      <c r="J16">
        <v>19.2</v>
      </c>
      <c r="K16">
        <v>14</v>
      </c>
      <c r="L16">
        <v>22.51</v>
      </c>
      <c r="M16">
        <v>93.5</v>
      </c>
      <c r="N16">
        <v>3.1</v>
      </c>
      <c r="O16" t="s">
        <v>55</v>
      </c>
      <c r="P16" s="1">
        <v>6500000</v>
      </c>
      <c r="Q16">
        <v>9.8000000000000007</v>
      </c>
      <c r="R16" t="s">
        <v>138</v>
      </c>
      <c r="T16">
        <f t="shared" ref="T16:T22" si="0">T15+5</f>
        <v>15</v>
      </c>
    </row>
    <row r="17" spans="1:20" x14ac:dyDescent="0.2">
      <c r="A17">
        <v>16</v>
      </c>
      <c r="B17" t="s">
        <v>27</v>
      </c>
      <c r="C17">
        <v>74</v>
      </c>
      <c r="D17">
        <v>30.6</v>
      </c>
      <c r="E17">
        <v>0.56499999999999995</v>
      </c>
      <c r="F17">
        <v>7.9</v>
      </c>
      <c r="G17">
        <v>7.1</v>
      </c>
      <c r="H17">
        <v>23.8</v>
      </c>
      <c r="I17">
        <v>9.1999999999999993</v>
      </c>
      <c r="J17">
        <v>22.2</v>
      </c>
      <c r="K17">
        <v>15.9</v>
      </c>
      <c r="L17">
        <v>22.43</v>
      </c>
      <c r="M17">
        <v>369</v>
      </c>
      <c r="N17">
        <v>12.3</v>
      </c>
      <c r="O17" t="s">
        <v>53</v>
      </c>
      <c r="P17" s="1">
        <v>19689000</v>
      </c>
      <c r="Q17">
        <v>18</v>
      </c>
      <c r="R17" t="s">
        <v>138</v>
      </c>
      <c r="T17">
        <f t="shared" si="0"/>
        <v>20</v>
      </c>
    </row>
    <row r="18" spans="1:20" x14ac:dyDescent="0.2">
      <c r="A18">
        <v>17</v>
      </c>
      <c r="B18" t="s">
        <v>28</v>
      </c>
      <c r="C18">
        <v>75</v>
      </c>
      <c r="D18">
        <v>35.700000000000003</v>
      </c>
      <c r="E18">
        <v>0.56000000000000005</v>
      </c>
      <c r="F18">
        <v>21.1</v>
      </c>
      <c r="G18">
        <v>10</v>
      </c>
      <c r="H18">
        <v>31.2</v>
      </c>
      <c r="I18">
        <v>1.8</v>
      </c>
      <c r="J18">
        <v>10.4</v>
      </c>
      <c r="K18">
        <v>6.1</v>
      </c>
      <c r="L18">
        <v>22.25</v>
      </c>
      <c r="M18">
        <v>449.1</v>
      </c>
      <c r="N18">
        <v>15</v>
      </c>
      <c r="O18" t="s">
        <v>53</v>
      </c>
      <c r="P18" s="1">
        <v>4236287</v>
      </c>
      <c r="Q18">
        <v>25.1</v>
      </c>
      <c r="R18" t="s">
        <v>137</v>
      </c>
      <c r="T18">
        <f t="shared" si="0"/>
        <v>25</v>
      </c>
    </row>
    <row r="19" spans="1:20" x14ac:dyDescent="0.2">
      <c r="A19">
        <v>18</v>
      </c>
      <c r="B19" t="s">
        <v>29</v>
      </c>
      <c r="C19">
        <v>35</v>
      </c>
      <c r="D19">
        <v>33.4</v>
      </c>
      <c r="E19">
        <v>0.54400000000000004</v>
      </c>
      <c r="F19">
        <v>18.100000000000001</v>
      </c>
      <c r="G19">
        <v>8.8000000000000007</v>
      </c>
      <c r="H19">
        <v>28.3</v>
      </c>
      <c r="I19">
        <v>4.8</v>
      </c>
      <c r="J19">
        <v>22.3</v>
      </c>
      <c r="K19">
        <v>13.7</v>
      </c>
      <c r="L19">
        <v>22.22</v>
      </c>
      <c r="M19">
        <v>187.1</v>
      </c>
      <c r="N19">
        <v>6.2</v>
      </c>
      <c r="O19" t="s">
        <v>53</v>
      </c>
      <c r="P19" s="1">
        <v>20149839</v>
      </c>
      <c r="Q19">
        <v>21.4</v>
      </c>
      <c r="R19" t="s">
        <v>138</v>
      </c>
      <c r="T19">
        <f t="shared" si="0"/>
        <v>30</v>
      </c>
    </row>
    <row r="20" spans="1:20" x14ac:dyDescent="0.2">
      <c r="A20">
        <v>19</v>
      </c>
      <c r="B20" t="s">
        <v>30</v>
      </c>
      <c r="C20">
        <v>77</v>
      </c>
      <c r="D20">
        <v>37</v>
      </c>
      <c r="E20">
        <v>0.57799999999999996</v>
      </c>
      <c r="F20">
        <v>23.2</v>
      </c>
      <c r="G20">
        <v>10.5</v>
      </c>
      <c r="H20">
        <v>26</v>
      </c>
      <c r="I20">
        <v>2.2000000000000002</v>
      </c>
      <c r="J20">
        <v>12.3</v>
      </c>
      <c r="K20">
        <v>7.3</v>
      </c>
      <c r="L20">
        <v>22.2</v>
      </c>
      <c r="M20">
        <v>476.5</v>
      </c>
      <c r="N20">
        <v>15.9</v>
      </c>
      <c r="O20" t="s">
        <v>57</v>
      </c>
      <c r="P20" s="1">
        <v>12000000</v>
      </c>
      <c r="Q20">
        <v>21.2</v>
      </c>
      <c r="R20" t="s">
        <v>137</v>
      </c>
      <c r="T20">
        <f t="shared" si="0"/>
        <v>35</v>
      </c>
    </row>
    <row r="21" spans="1:20" x14ac:dyDescent="0.2">
      <c r="A21">
        <v>20</v>
      </c>
      <c r="B21" t="s">
        <v>31</v>
      </c>
      <c r="C21">
        <v>79</v>
      </c>
      <c r="D21">
        <v>29.3</v>
      </c>
      <c r="E21">
        <v>0.56200000000000006</v>
      </c>
      <c r="F21">
        <v>12.9</v>
      </c>
      <c r="G21">
        <v>9.3000000000000007</v>
      </c>
      <c r="H21">
        <v>22.2</v>
      </c>
      <c r="I21">
        <v>10.9</v>
      </c>
      <c r="J21">
        <v>23.4</v>
      </c>
      <c r="K21">
        <v>17.2</v>
      </c>
      <c r="L21">
        <v>21.87</v>
      </c>
      <c r="M21">
        <v>389.2</v>
      </c>
      <c r="N21">
        <v>13</v>
      </c>
      <c r="O21" t="s">
        <v>53</v>
      </c>
      <c r="P21" s="1">
        <v>16410000</v>
      </c>
      <c r="Q21">
        <v>15.3</v>
      </c>
      <c r="R21" t="s">
        <v>138</v>
      </c>
    </row>
    <row r="22" spans="1:20" x14ac:dyDescent="0.2">
      <c r="A22">
        <v>21</v>
      </c>
      <c r="B22" t="s">
        <v>32</v>
      </c>
      <c r="C22">
        <v>73</v>
      </c>
      <c r="D22">
        <v>33.700000000000003</v>
      </c>
      <c r="E22">
        <v>0.56200000000000006</v>
      </c>
      <c r="F22">
        <v>8.8000000000000007</v>
      </c>
      <c r="G22">
        <v>10.6</v>
      </c>
      <c r="H22">
        <v>25.5</v>
      </c>
      <c r="I22">
        <v>9.1999999999999993</v>
      </c>
      <c r="J22">
        <v>17.2</v>
      </c>
      <c r="K22">
        <v>13.1</v>
      </c>
      <c r="L22">
        <v>21.8</v>
      </c>
      <c r="M22">
        <v>410.8</v>
      </c>
      <c r="N22">
        <v>13.7</v>
      </c>
      <c r="O22" t="s">
        <v>56</v>
      </c>
      <c r="P22" s="1">
        <v>19690000</v>
      </c>
      <c r="Q22">
        <v>20.6</v>
      </c>
      <c r="R22" t="s">
        <v>140</v>
      </c>
      <c r="S22" t="s">
        <v>90</v>
      </c>
      <c r="T22">
        <f>T9-T7</f>
        <v>12.75</v>
      </c>
    </row>
    <row r="23" spans="1:20" x14ac:dyDescent="0.2">
      <c r="A23">
        <v>22</v>
      </c>
      <c r="B23" t="s">
        <v>33</v>
      </c>
      <c r="C23">
        <v>72</v>
      </c>
      <c r="D23">
        <v>31.8</v>
      </c>
      <c r="E23">
        <v>0.52900000000000003</v>
      </c>
      <c r="F23">
        <v>18.600000000000001</v>
      </c>
      <c r="G23">
        <v>10.4</v>
      </c>
      <c r="H23">
        <v>24.1</v>
      </c>
      <c r="I23">
        <v>7.3</v>
      </c>
      <c r="J23">
        <v>28.7</v>
      </c>
      <c r="K23">
        <v>18.2</v>
      </c>
      <c r="L23">
        <v>21.76</v>
      </c>
      <c r="M23">
        <v>381.6</v>
      </c>
      <c r="N23">
        <v>12.7</v>
      </c>
      <c r="O23" t="s">
        <v>56</v>
      </c>
      <c r="P23" s="1">
        <v>7448760</v>
      </c>
      <c r="Q23">
        <v>16.5</v>
      </c>
      <c r="R23" t="s">
        <v>140</v>
      </c>
      <c r="S23" t="s">
        <v>91</v>
      </c>
      <c r="T23">
        <f>1.5*T22</f>
        <v>19.125</v>
      </c>
    </row>
    <row r="24" spans="1:20" x14ac:dyDescent="0.2">
      <c r="A24">
        <v>23</v>
      </c>
      <c r="B24" t="s">
        <v>34</v>
      </c>
      <c r="C24">
        <v>62</v>
      </c>
      <c r="D24">
        <v>32</v>
      </c>
      <c r="E24">
        <v>0.55100000000000005</v>
      </c>
      <c r="F24">
        <v>8.4</v>
      </c>
      <c r="G24">
        <v>9.3000000000000007</v>
      </c>
      <c r="H24">
        <v>22.4</v>
      </c>
      <c r="I24">
        <v>10</v>
      </c>
      <c r="J24">
        <v>19.600000000000001</v>
      </c>
      <c r="K24">
        <v>14.8</v>
      </c>
      <c r="L24">
        <v>21.71</v>
      </c>
      <c r="M24">
        <v>302.10000000000002</v>
      </c>
      <c r="N24">
        <v>10.1</v>
      </c>
      <c r="O24" t="s">
        <v>56</v>
      </c>
      <c r="P24" s="1">
        <v>12000000</v>
      </c>
      <c r="Q24">
        <v>16.399999999999999</v>
      </c>
      <c r="R24" t="s">
        <v>138</v>
      </c>
    </row>
    <row r="25" spans="1:20" x14ac:dyDescent="0.2">
      <c r="A25">
        <v>24</v>
      </c>
      <c r="B25" t="s">
        <v>35</v>
      </c>
      <c r="C25">
        <v>78</v>
      </c>
      <c r="D25">
        <v>35.9</v>
      </c>
      <c r="E25">
        <v>0.55000000000000004</v>
      </c>
      <c r="F25">
        <v>14.6</v>
      </c>
      <c r="G25">
        <v>8.1</v>
      </c>
      <c r="H25">
        <v>28.5</v>
      </c>
      <c r="I25">
        <v>2.7</v>
      </c>
      <c r="J25">
        <v>11.5</v>
      </c>
      <c r="K25">
        <v>7.1</v>
      </c>
      <c r="L25">
        <v>21.58</v>
      </c>
      <c r="M25">
        <v>463.9</v>
      </c>
      <c r="N25">
        <v>15.5</v>
      </c>
      <c r="O25" t="s">
        <v>56</v>
      </c>
      <c r="P25" s="1">
        <v>10050000</v>
      </c>
      <c r="Q25">
        <v>23.5</v>
      </c>
      <c r="R25" t="s">
        <v>137</v>
      </c>
      <c r="S25" t="s">
        <v>92</v>
      </c>
      <c r="T25">
        <f>T8-T23</f>
        <v>-4.9750000000000014</v>
      </c>
    </row>
    <row r="26" spans="1:20" x14ac:dyDescent="0.2">
      <c r="A26">
        <v>25</v>
      </c>
      <c r="B26" t="s">
        <v>36</v>
      </c>
      <c r="C26">
        <v>80</v>
      </c>
      <c r="D26">
        <v>21.7</v>
      </c>
      <c r="E26">
        <v>0.58199999999999996</v>
      </c>
      <c r="F26">
        <v>19.399999999999999</v>
      </c>
      <c r="G26">
        <v>10.6</v>
      </c>
      <c r="H26">
        <v>19.600000000000001</v>
      </c>
      <c r="I26">
        <v>11.4</v>
      </c>
      <c r="J26">
        <v>24.7</v>
      </c>
      <c r="K26">
        <v>17.899999999999999</v>
      </c>
      <c r="L26">
        <v>21.58</v>
      </c>
      <c r="M26">
        <v>284.10000000000002</v>
      </c>
      <c r="N26">
        <v>9.5</v>
      </c>
      <c r="O26" t="s">
        <v>55</v>
      </c>
      <c r="P26" s="1">
        <v>1300000</v>
      </c>
      <c r="Q26">
        <v>10</v>
      </c>
      <c r="R26" t="s">
        <v>138</v>
      </c>
      <c r="S26" t="s">
        <v>93</v>
      </c>
      <c r="T26">
        <f>T10+T23</f>
        <v>40.325000000000003</v>
      </c>
    </row>
    <row r="27" spans="1:20" x14ac:dyDescent="0.2">
      <c r="A27">
        <v>26</v>
      </c>
      <c r="B27" t="s">
        <v>37</v>
      </c>
      <c r="C27">
        <v>82</v>
      </c>
      <c r="D27">
        <v>32.200000000000003</v>
      </c>
      <c r="E27">
        <v>0.56200000000000006</v>
      </c>
      <c r="F27">
        <v>21.7</v>
      </c>
      <c r="G27">
        <v>9.4</v>
      </c>
      <c r="H27">
        <v>29.5</v>
      </c>
      <c r="I27">
        <v>1.8</v>
      </c>
      <c r="J27">
        <v>8</v>
      </c>
      <c r="K27">
        <v>4.9000000000000004</v>
      </c>
      <c r="L27">
        <v>21.54</v>
      </c>
      <c r="M27">
        <v>415.8</v>
      </c>
      <c r="N27">
        <v>13.9</v>
      </c>
      <c r="O27" t="s">
        <v>55</v>
      </c>
      <c r="P27" s="1">
        <v>6912869</v>
      </c>
      <c r="Q27">
        <v>22.2</v>
      </c>
      <c r="R27" t="s">
        <v>137</v>
      </c>
    </row>
    <row r="28" spans="1:20" x14ac:dyDescent="0.2">
      <c r="A28">
        <v>27</v>
      </c>
      <c r="B28" t="s">
        <v>38</v>
      </c>
      <c r="C28">
        <v>60</v>
      </c>
      <c r="D28">
        <v>13.3</v>
      </c>
      <c r="E28">
        <v>0.626</v>
      </c>
      <c r="F28">
        <v>13.3</v>
      </c>
      <c r="G28">
        <v>17</v>
      </c>
      <c r="H28">
        <v>17.2</v>
      </c>
      <c r="I28">
        <v>11.9</v>
      </c>
      <c r="J28">
        <v>27.1</v>
      </c>
      <c r="K28">
        <v>19.600000000000001</v>
      </c>
      <c r="L28">
        <v>21.35</v>
      </c>
      <c r="M28">
        <v>128.4</v>
      </c>
      <c r="N28">
        <v>4.3</v>
      </c>
      <c r="O28" t="s">
        <v>53</v>
      </c>
      <c r="P28" s="1">
        <v>1100602</v>
      </c>
      <c r="Q28">
        <v>5.5</v>
      </c>
      <c r="R28" t="s">
        <v>138</v>
      </c>
    </row>
    <row r="29" spans="1:20" x14ac:dyDescent="0.2">
      <c r="A29">
        <v>28</v>
      </c>
      <c r="B29" t="s">
        <v>39</v>
      </c>
      <c r="C29">
        <v>81</v>
      </c>
      <c r="D29">
        <v>32.700000000000003</v>
      </c>
      <c r="E29">
        <v>0.55600000000000005</v>
      </c>
      <c r="F29">
        <v>15.6</v>
      </c>
      <c r="G29">
        <v>11.2</v>
      </c>
      <c r="H29">
        <v>22.7</v>
      </c>
      <c r="I29">
        <v>8.4</v>
      </c>
      <c r="J29">
        <v>21.5</v>
      </c>
      <c r="K29">
        <v>15.1</v>
      </c>
      <c r="L29">
        <v>21.33</v>
      </c>
      <c r="M29">
        <v>388.5</v>
      </c>
      <c r="N29">
        <v>13</v>
      </c>
      <c r="O29" t="s">
        <v>55</v>
      </c>
      <c r="P29" s="1">
        <v>18671659</v>
      </c>
      <c r="Q29">
        <v>17.100000000000001</v>
      </c>
      <c r="R29" t="s">
        <v>138</v>
      </c>
    </row>
    <row r="30" spans="1:20" x14ac:dyDescent="0.2">
      <c r="A30">
        <v>29</v>
      </c>
      <c r="B30" t="s">
        <v>40</v>
      </c>
      <c r="C30">
        <v>67</v>
      </c>
      <c r="D30">
        <v>36.9</v>
      </c>
      <c r="E30">
        <v>0.56200000000000006</v>
      </c>
      <c r="F30">
        <v>18.899999999999999</v>
      </c>
      <c r="G30">
        <v>7.8</v>
      </c>
      <c r="H30">
        <v>23.9</v>
      </c>
      <c r="I30">
        <v>3.4</v>
      </c>
      <c r="J30">
        <v>11.6</v>
      </c>
      <c r="K30">
        <v>7.6</v>
      </c>
      <c r="L30">
        <v>21.33</v>
      </c>
      <c r="M30">
        <v>399.9</v>
      </c>
      <c r="N30">
        <v>13.3</v>
      </c>
      <c r="O30" t="s">
        <v>55</v>
      </c>
      <c r="P30" s="1">
        <v>16407500</v>
      </c>
      <c r="Q30">
        <v>20.9</v>
      </c>
      <c r="R30" t="s">
        <v>138</v>
      </c>
    </row>
    <row r="31" spans="1:20" x14ac:dyDescent="0.2">
      <c r="A31">
        <v>30</v>
      </c>
      <c r="B31" t="s">
        <v>41</v>
      </c>
      <c r="C31">
        <v>81</v>
      </c>
      <c r="D31">
        <v>32.9</v>
      </c>
      <c r="E31">
        <v>0.499</v>
      </c>
      <c r="F31">
        <v>4.4000000000000004</v>
      </c>
      <c r="G31">
        <v>10.1</v>
      </c>
      <c r="H31">
        <v>22.6</v>
      </c>
      <c r="I31">
        <v>15.6</v>
      </c>
      <c r="J31">
        <v>34.200000000000003</v>
      </c>
      <c r="K31">
        <v>24.5</v>
      </c>
      <c r="L31">
        <v>21.3</v>
      </c>
      <c r="M31">
        <v>425.8</v>
      </c>
      <c r="N31">
        <v>14.2</v>
      </c>
      <c r="O31" t="s">
        <v>53</v>
      </c>
      <c r="P31" s="1">
        <v>3272091</v>
      </c>
      <c r="Q31">
        <v>16.2</v>
      </c>
      <c r="R31" t="s">
        <v>138</v>
      </c>
    </row>
    <row r="32" spans="1:20" x14ac:dyDescent="0.2">
      <c r="A32">
        <v>31</v>
      </c>
      <c r="B32" t="s">
        <v>42</v>
      </c>
      <c r="C32">
        <v>65</v>
      </c>
      <c r="D32">
        <v>31.3</v>
      </c>
      <c r="E32">
        <v>0.53100000000000003</v>
      </c>
      <c r="F32">
        <v>12.7</v>
      </c>
      <c r="G32">
        <v>8.6999999999999993</v>
      </c>
      <c r="H32">
        <v>25.4</v>
      </c>
      <c r="I32">
        <v>9.3000000000000007</v>
      </c>
      <c r="J32">
        <v>22.2</v>
      </c>
      <c r="K32">
        <v>15.7</v>
      </c>
      <c r="L32">
        <v>21.15</v>
      </c>
      <c r="M32">
        <v>320.8</v>
      </c>
      <c r="N32">
        <v>10.7</v>
      </c>
      <c r="O32" t="s">
        <v>57</v>
      </c>
      <c r="P32" s="1">
        <v>11250000</v>
      </c>
      <c r="Q32">
        <v>18.2</v>
      </c>
      <c r="R32" t="s">
        <v>138</v>
      </c>
    </row>
    <row r="33" spans="1:19" x14ac:dyDescent="0.2">
      <c r="A33">
        <v>32</v>
      </c>
      <c r="B33" t="s">
        <v>43</v>
      </c>
      <c r="C33">
        <v>67</v>
      </c>
      <c r="D33">
        <v>25.3</v>
      </c>
      <c r="E33">
        <v>0.57699999999999996</v>
      </c>
      <c r="F33">
        <v>8.8000000000000007</v>
      </c>
      <c r="G33">
        <v>10.199999999999999</v>
      </c>
      <c r="H33">
        <v>19.8</v>
      </c>
      <c r="I33">
        <v>15.1</v>
      </c>
      <c r="J33">
        <v>23</v>
      </c>
      <c r="K33">
        <v>19</v>
      </c>
      <c r="L33">
        <v>21.06</v>
      </c>
      <c r="M33">
        <v>241.7</v>
      </c>
      <c r="N33">
        <v>8.1</v>
      </c>
      <c r="O33" t="s">
        <v>57</v>
      </c>
      <c r="P33" s="1">
        <v>11235955</v>
      </c>
      <c r="Q33">
        <v>12.5</v>
      </c>
      <c r="R33" t="s">
        <v>138</v>
      </c>
    </row>
    <row r="34" spans="1:19" x14ac:dyDescent="0.2">
      <c r="A34">
        <v>33</v>
      </c>
      <c r="B34" t="s">
        <v>44</v>
      </c>
      <c r="C34">
        <v>81</v>
      </c>
      <c r="D34">
        <v>34.799999999999997</v>
      </c>
      <c r="E34">
        <v>0.55700000000000005</v>
      </c>
      <c r="F34">
        <v>14.5</v>
      </c>
      <c r="G34">
        <v>11.6</v>
      </c>
      <c r="H34">
        <v>28.9</v>
      </c>
      <c r="I34">
        <v>3.1</v>
      </c>
      <c r="J34">
        <v>18.7</v>
      </c>
      <c r="K34">
        <v>10.9</v>
      </c>
      <c r="L34">
        <v>20.98</v>
      </c>
      <c r="M34">
        <v>441</v>
      </c>
      <c r="N34">
        <v>14.7</v>
      </c>
      <c r="O34" t="s">
        <v>53</v>
      </c>
      <c r="P34" s="1">
        <v>17120106</v>
      </c>
      <c r="Q34">
        <v>23.1</v>
      </c>
      <c r="R34" t="s">
        <v>137</v>
      </c>
    </row>
    <row r="35" spans="1:19" x14ac:dyDescent="0.2">
      <c r="A35">
        <v>34</v>
      </c>
      <c r="B35" t="s">
        <v>45</v>
      </c>
      <c r="C35">
        <v>81</v>
      </c>
      <c r="D35">
        <v>35.6</v>
      </c>
      <c r="E35">
        <v>0.55400000000000005</v>
      </c>
      <c r="F35">
        <v>19.899999999999999</v>
      </c>
      <c r="G35">
        <v>8.1</v>
      </c>
      <c r="H35">
        <v>25.5</v>
      </c>
      <c r="I35">
        <v>2.1</v>
      </c>
      <c r="J35">
        <v>11.5</v>
      </c>
      <c r="K35">
        <v>6.8</v>
      </c>
      <c r="L35">
        <v>20.87</v>
      </c>
      <c r="M35">
        <v>425</v>
      </c>
      <c r="N35">
        <v>14.2</v>
      </c>
      <c r="O35" t="s">
        <v>53</v>
      </c>
      <c r="P35" s="1">
        <v>12000000</v>
      </c>
      <c r="Q35">
        <v>20.9</v>
      </c>
      <c r="R35" t="s">
        <v>137</v>
      </c>
    </row>
    <row r="36" spans="1:19" x14ac:dyDescent="0.2">
      <c r="A36">
        <v>35</v>
      </c>
      <c r="B36" t="s">
        <v>46</v>
      </c>
      <c r="C36">
        <v>77</v>
      </c>
      <c r="D36">
        <v>33.700000000000003</v>
      </c>
      <c r="E36">
        <v>0.628</v>
      </c>
      <c r="F36">
        <v>9.1999999999999993</v>
      </c>
      <c r="G36">
        <v>10.9</v>
      </c>
      <c r="H36">
        <v>14.1</v>
      </c>
      <c r="I36">
        <v>11.4</v>
      </c>
      <c r="J36">
        <v>32.700000000000003</v>
      </c>
      <c r="K36">
        <v>22.2</v>
      </c>
      <c r="L36">
        <v>20.66</v>
      </c>
      <c r="M36">
        <v>390.2</v>
      </c>
      <c r="N36">
        <v>13</v>
      </c>
      <c r="O36" t="s">
        <v>55</v>
      </c>
      <c r="P36" s="1">
        <v>19690000</v>
      </c>
      <c r="Q36">
        <v>12.7</v>
      </c>
      <c r="R36" t="s">
        <v>140</v>
      </c>
    </row>
    <row r="37" spans="1:19" x14ac:dyDescent="0.2">
      <c r="A37">
        <v>36</v>
      </c>
      <c r="B37" t="s">
        <v>47</v>
      </c>
      <c r="C37">
        <v>74</v>
      </c>
      <c r="D37">
        <v>30.5</v>
      </c>
      <c r="E37">
        <v>0.51700000000000002</v>
      </c>
      <c r="F37">
        <v>18</v>
      </c>
      <c r="G37">
        <v>10.6</v>
      </c>
      <c r="H37">
        <v>30.5</v>
      </c>
      <c r="I37">
        <v>4.3</v>
      </c>
      <c r="J37">
        <v>10.7</v>
      </c>
      <c r="K37">
        <v>7.6</v>
      </c>
      <c r="L37">
        <v>20.420000000000002</v>
      </c>
      <c r="M37">
        <v>334.3</v>
      </c>
      <c r="N37">
        <v>11.1</v>
      </c>
      <c r="O37" t="s">
        <v>53</v>
      </c>
      <c r="P37" s="1">
        <v>20000000</v>
      </c>
      <c r="Q37">
        <v>19</v>
      </c>
      <c r="R37" t="s">
        <v>138</v>
      </c>
    </row>
    <row r="38" spans="1:19" x14ac:dyDescent="0.2">
      <c r="A38">
        <v>37</v>
      </c>
      <c r="B38" t="s">
        <v>48</v>
      </c>
      <c r="C38">
        <v>72</v>
      </c>
      <c r="D38">
        <v>35.1</v>
      </c>
      <c r="E38">
        <v>0.53</v>
      </c>
      <c r="F38">
        <v>15.3</v>
      </c>
      <c r="G38">
        <v>9</v>
      </c>
      <c r="H38">
        <v>28.5</v>
      </c>
      <c r="I38">
        <v>4.3</v>
      </c>
      <c r="J38">
        <v>19.5</v>
      </c>
      <c r="K38">
        <v>12</v>
      </c>
      <c r="L38">
        <v>20.38</v>
      </c>
      <c r="M38">
        <v>372.9</v>
      </c>
      <c r="N38">
        <v>12.4</v>
      </c>
      <c r="O38" t="s">
        <v>53</v>
      </c>
      <c r="P38">
        <v>22875000</v>
      </c>
      <c r="Q38">
        <v>21.8</v>
      </c>
      <c r="R38" t="s">
        <v>138</v>
      </c>
    </row>
    <row r="39" spans="1:19" x14ac:dyDescent="0.2">
      <c r="A39">
        <v>38</v>
      </c>
      <c r="B39" t="s">
        <v>49</v>
      </c>
      <c r="C39">
        <v>53</v>
      </c>
      <c r="D39">
        <v>33.5</v>
      </c>
      <c r="E39">
        <v>0.57099999999999995</v>
      </c>
      <c r="F39">
        <v>11.7</v>
      </c>
      <c r="G39">
        <v>7.2</v>
      </c>
      <c r="H39">
        <v>23.2</v>
      </c>
      <c r="I39">
        <v>3.2</v>
      </c>
      <c r="J39">
        <v>21.1</v>
      </c>
      <c r="K39">
        <v>12.4</v>
      </c>
      <c r="L39">
        <v>20.29</v>
      </c>
      <c r="M39">
        <v>233.2</v>
      </c>
      <c r="N39">
        <v>7.8</v>
      </c>
      <c r="O39" t="s">
        <v>53</v>
      </c>
      <c r="P39">
        <v>22192730</v>
      </c>
      <c r="Q39">
        <v>19.100000000000001</v>
      </c>
      <c r="R39" t="s">
        <v>138</v>
      </c>
    </row>
    <row r="40" spans="1:19" x14ac:dyDescent="0.2">
      <c r="A40">
        <v>39</v>
      </c>
      <c r="B40" t="s">
        <v>50</v>
      </c>
      <c r="C40">
        <v>31</v>
      </c>
      <c r="D40">
        <v>34.200000000000003</v>
      </c>
      <c r="E40">
        <v>0.55700000000000005</v>
      </c>
      <c r="F40">
        <v>21.9</v>
      </c>
      <c r="G40">
        <v>12.7</v>
      </c>
      <c r="H40">
        <v>27.2</v>
      </c>
      <c r="I40">
        <v>1.8</v>
      </c>
      <c r="J40">
        <v>11.2</v>
      </c>
      <c r="K40">
        <v>6.4</v>
      </c>
      <c r="L40">
        <v>20.100000000000001</v>
      </c>
      <c r="M40">
        <v>143.9</v>
      </c>
      <c r="N40">
        <v>4.8</v>
      </c>
      <c r="O40" t="s">
        <v>57</v>
      </c>
      <c r="P40" s="1">
        <v>13500000</v>
      </c>
      <c r="Q40">
        <v>20.399999999999999</v>
      </c>
      <c r="R40" t="s">
        <v>137</v>
      </c>
    </row>
    <row r="41" spans="1:19" x14ac:dyDescent="0.2">
      <c r="A41">
        <v>40</v>
      </c>
      <c r="B41" t="s">
        <v>51</v>
      </c>
      <c r="C41">
        <v>53</v>
      </c>
      <c r="D41">
        <v>31.5</v>
      </c>
      <c r="E41">
        <v>0.54</v>
      </c>
      <c r="F41">
        <v>18.7</v>
      </c>
      <c r="G41">
        <v>9.3000000000000007</v>
      </c>
      <c r="H41">
        <v>28.8</v>
      </c>
      <c r="I41">
        <v>3</v>
      </c>
      <c r="J41">
        <v>7.6</v>
      </c>
      <c r="K41">
        <v>5.3</v>
      </c>
      <c r="L41">
        <v>19.96</v>
      </c>
      <c r="M41">
        <v>222.8</v>
      </c>
      <c r="N41">
        <v>7.4</v>
      </c>
      <c r="O41" t="s">
        <v>53</v>
      </c>
      <c r="P41" s="1">
        <v>16407501</v>
      </c>
      <c r="Q41">
        <v>19.600000000000001</v>
      </c>
      <c r="R41" t="s">
        <v>137</v>
      </c>
    </row>
    <row r="42" spans="1:19" x14ac:dyDescent="0.2">
      <c r="A42">
        <v>41</v>
      </c>
      <c r="B42" t="s">
        <v>60</v>
      </c>
      <c r="C42">
        <v>77</v>
      </c>
      <c r="D42">
        <v>36.200000000000003</v>
      </c>
      <c r="E42">
        <v>0.51</v>
      </c>
      <c r="F42">
        <v>30.3</v>
      </c>
      <c r="G42">
        <v>12.2</v>
      </c>
      <c r="H42">
        <v>29.1</v>
      </c>
      <c r="I42">
        <v>1.7</v>
      </c>
      <c r="J42">
        <v>13.8</v>
      </c>
      <c r="K42">
        <v>7.6</v>
      </c>
      <c r="L42">
        <v>19.829999999999998</v>
      </c>
      <c r="M42">
        <v>367</v>
      </c>
      <c r="N42">
        <v>12.2</v>
      </c>
      <c r="O42" t="s">
        <v>53</v>
      </c>
      <c r="P42" s="1">
        <v>15851950</v>
      </c>
      <c r="Q42">
        <v>19.899999999999999</v>
      </c>
      <c r="R42" t="s">
        <v>137</v>
      </c>
    </row>
    <row r="43" spans="1:19" x14ac:dyDescent="0.2">
      <c r="A43">
        <v>42</v>
      </c>
      <c r="B43" t="s">
        <v>61</v>
      </c>
      <c r="C43">
        <v>65</v>
      </c>
      <c r="D43">
        <v>28.2</v>
      </c>
      <c r="E43">
        <v>0.52900000000000003</v>
      </c>
      <c r="F43">
        <v>24.6</v>
      </c>
      <c r="G43">
        <v>10.5</v>
      </c>
      <c r="H43">
        <v>28.8</v>
      </c>
      <c r="I43">
        <v>1.6</v>
      </c>
      <c r="J43">
        <v>10.5</v>
      </c>
      <c r="K43">
        <v>5.9</v>
      </c>
      <c r="L43">
        <v>19.739999999999998</v>
      </c>
      <c r="M43">
        <v>238.7</v>
      </c>
      <c r="N43">
        <v>8</v>
      </c>
      <c r="O43" t="s">
        <v>57</v>
      </c>
      <c r="P43" s="1">
        <v>9213000</v>
      </c>
      <c r="Q43">
        <v>16.8</v>
      </c>
      <c r="R43" t="s">
        <v>137</v>
      </c>
    </row>
    <row r="44" spans="1:19" x14ac:dyDescent="0.2">
      <c r="A44">
        <v>43</v>
      </c>
      <c r="B44" t="s">
        <v>62</v>
      </c>
      <c r="C44">
        <v>55</v>
      </c>
      <c r="D44">
        <v>16.399999999999999</v>
      </c>
      <c r="E44">
        <v>0.56799999999999995</v>
      </c>
      <c r="F44">
        <v>16</v>
      </c>
      <c r="G44">
        <v>12.5</v>
      </c>
      <c r="H44">
        <v>22.3</v>
      </c>
      <c r="I44">
        <v>12</v>
      </c>
      <c r="J44">
        <v>24.6</v>
      </c>
      <c r="K44">
        <v>18.2</v>
      </c>
      <c r="L44">
        <v>19.64</v>
      </c>
      <c r="M44">
        <v>109.7</v>
      </c>
      <c r="N44">
        <v>3.7</v>
      </c>
      <c r="O44" t="s">
        <v>57</v>
      </c>
      <c r="P44" s="1">
        <v>2102000</v>
      </c>
      <c r="Q44">
        <v>8.5</v>
      </c>
      <c r="R44" t="s">
        <v>138</v>
      </c>
    </row>
    <row r="45" spans="1:19" x14ac:dyDescent="0.2">
      <c r="A45">
        <v>44</v>
      </c>
      <c r="B45" t="s">
        <v>63</v>
      </c>
      <c r="C45">
        <v>79</v>
      </c>
      <c r="D45">
        <v>30.7</v>
      </c>
      <c r="E45">
        <v>0.53500000000000003</v>
      </c>
      <c r="F45">
        <v>23.3</v>
      </c>
      <c r="G45">
        <v>10.6</v>
      </c>
      <c r="H45">
        <v>29.6</v>
      </c>
      <c r="I45">
        <v>2.5</v>
      </c>
      <c r="J45">
        <v>9.1</v>
      </c>
      <c r="K45">
        <v>5.7</v>
      </c>
      <c r="L45">
        <v>19.62</v>
      </c>
      <c r="M45">
        <v>312</v>
      </c>
      <c r="N45">
        <v>10.4</v>
      </c>
      <c r="O45" t="s">
        <v>57</v>
      </c>
      <c r="P45" s="1">
        <v>16410000</v>
      </c>
      <c r="Q45">
        <v>18.8</v>
      </c>
      <c r="R45" t="s">
        <v>137</v>
      </c>
    </row>
    <row r="46" spans="1:19" x14ac:dyDescent="0.2">
      <c r="A46">
        <v>45</v>
      </c>
      <c r="B46" t="s">
        <v>64</v>
      </c>
      <c r="C46">
        <v>82</v>
      </c>
      <c r="D46">
        <v>32.1</v>
      </c>
      <c r="E46">
        <v>0.56499999999999995</v>
      </c>
      <c r="F46">
        <v>17.8</v>
      </c>
      <c r="G46">
        <v>7.3</v>
      </c>
      <c r="H46">
        <v>19.5</v>
      </c>
      <c r="I46">
        <v>6.3</v>
      </c>
      <c r="J46">
        <v>18.2</v>
      </c>
      <c r="K46">
        <v>12.4</v>
      </c>
      <c r="L46">
        <v>19.46</v>
      </c>
      <c r="M46">
        <v>347.8</v>
      </c>
      <c r="N46">
        <v>11.6</v>
      </c>
      <c r="O46" t="s">
        <v>53</v>
      </c>
      <c r="P46" s="1">
        <v>12000000</v>
      </c>
      <c r="Q46">
        <v>15.2</v>
      </c>
      <c r="R46" t="s">
        <v>138</v>
      </c>
    </row>
    <row r="47" spans="1:19" x14ac:dyDescent="0.2">
      <c r="A47">
        <v>46</v>
      </c>
      <c r="B47" t="s">
        <v>65</v>
      </c>
      <c r="C47">
        <v>56</v>
      </c>
      <c r="D47">
        <v>31.4</v>
      </c>
      <c r="E47">
        <v>0.53800000000000003</v>
      </c>
      <c r="F47">
        <v>28</v>
      </c>
      <c r="G47">
        <v>6.9</v>
      </c>
      <c r="H47">
        <v>23.2</v>
      </c>
      <c r="I47">
        <v>1.6</v>
      </c>
      <c r="J47">
        <v>9.3000000000000007</v>
      </c>
      <c r="K47">
        <v>5.3</v>
      </c>
      <c r="L47">
        <v>19.45</v>
      </c>
      <c r="M47">
        <v>222</v>
      </c>
      <c r="N47">
        <v>7.4</v>
      </c>
      <c r="O47" t="s">
        <v>53</v>
      </c>
      <c r="P47" s="1">
        <v>7306000</v>
      </c>
      <c r="Q47">
        <v>15.3</v>
      </c>
      <c r="R47" t="s">
        <v>137</v>
      </c>
    </row>
    <row r="48" spans="1:19" x14ac:dyDescent="0.2">
      <c r="A48">
        <v>47</v>
      </c>
      <c r="B48" t="s">
        <v>66</v>
      </c>
      <c r="C48">
        <v>81</v>
      </c>
      <c r="D48">
        <v>34.700000000000003</v>
      </c>
      <c r="E48">
        <v>0.58699999999999997</v>
      </c>
      <c r="F48">
        <v>32.799999999999997</v>
      </c>
      <c r="G48">
        <v>14.2</v>
      </c>
      <c r="H48">
        <v>19.5</v>
      </c>
      <c r="I48">
        <v>5.5</v>
      </c>
      <c r="J48">
        <v>23</v>
      </c>
      <c r="K48">
        <v>14.7</v>
      </c>
      <c r="L48">
        <v>19.309999999999999</v>
      </c>
      <c r="M48">
        <v>327.39999999999998</v>
      </c>
      <c r="N48">
        <v>10.9</v>
      </c>
      <c r="O48" t="s">
        <v>55</v>
      </c>
      <c r="P48" s="1">
        <v>15300000</v>
      </c>
      <c r="Q48">
        <v>14</v>
      </c>
      <c r="R48" t="s">
        <v>138</v>
      </c>
      <c r="S48" s="6"/>
    </row>
    <row r="49" spans="1:18" x14ac:dyDescent="0.2">
      <c r="A49">
        <v>48</v>
      </c>
      <c r="B49" t="s">
        <v>67</v>
      </c>
      <c r="C49">
        <v>75</v>
      </c>
      <c r="D49">
        <v>31.5</v>
      </c>
      <c r="E49">
        <v>0.55500000000000005</v>
      </c>
      <c r="F49">
        <v>9.1</v>
      </c>
      <c r="G49">
        <v>5.8</v>
      </c>
      <c r="H49">
        <v>23.5</v>
      </c>
      <c r="I49">
        <v>2.4</v>
      </c>
      <c r="J49">
        <v>20.3</v>
      </c>
      <c r="K49">
        <v>11.4</v>
      </c>
      <c r="L49">
        <v>19.09</v>
      </c>
      <c r="M49">
        <v>267.89999999999998</v>
      </c>
      <c r="N49">
        <v>8.9</v>
      </c>
      <c r="O49" t="s">
        <v>53</v>
      </c>
      <c r="P49" s="1">
        <v>7974000</v>
      </c>
      <c r="Q49">
        <v>20.399999999999999</v>
      </c>
      <c r="R49" t="s">
        <v>138</v>
      </c>
    </row>
    <row r="50" spans="1:18" x14ac:dyDescent="0.2">
      <c r="A50">
        <v>49</v>
      </c>
      <c r="B50" t="s">
        <v>68</v>
      </c>
      <c r="C50">
        <v>77</v>
      </c>
      <c r="D50">
        <v>31.5</v>
      </c>
      <c r="E50">
        <v>0.55300000000000005</v>
      </c>
      <c r="F50">
        <v>12.8</v>
      </c>
      <c r="G50">
        <v>9.8000000000000007</v>
      </c>
      <c r="H50">
        <v>22.4</v>
      </c>
      <c r="I50">
        <v>7</v>
      </c>
      <c r="J50">
        <v>28.4</v>
      </c>
      <c r="K50">
        <v>17.8</v>
      </c>
      <c r="L50">
        <v>19.079999999999998</v>
      </c>
      <c r="M50">
        <v>274.39999999999998</v>
      </c>
      <c r="N50">
        <v>9.1</v>
      </c>
      <c r="O50" t="s">
        <v>53</v>
      </c>
      <c r="P50" s="1">
        <v>21170000</v>
      </c>
      <c r="Q50">
        <v>16</v>
      </c>
      <c r="R50" t="s">
        <v>138</v>
      </c>
    </row>
    <row r="51" spans="1:18" x14ac:dyDescent="0.2">
      <c r="A51">
        <v>50</v>
      </c>
      <c r="B51" t="s">
        <v>69</v>
      </c>
      <c r="C51">
        <v>75</v>
      </c>
      <c r="D51">
        <v>30.1</v>
      </c>
      <c r="E51">
        <v>0.59199999999999997</v>
      </c>
      <c r="F51">
        <v>9.8000000000000007</v>
      </c>
      <c r="G51">
        <v>11.2</v>
      </c>
      <c r="H51">
        <v>17.5</v>
      </c>
      <c r="I51">
        <v>10.8</v>
      </c>
      <c r="J51">
        <v>26.3</v>
      </c>
      <c r="K51">
        <v>18.399999999999999</v>
      </c>
      <c r="L51">
        <v>19.04</v>
      </c>
      <c r="M51">
        <v>284.3</v>
      </c>
      <c r="N51">
        <v>9.5</v>
      </c>
      <c r="O51" t="s">
        <v>55</v>
      </c>
      <c r="P51" s="1">
        <v>7727000</v>
      </c>
      <c r="Q51">
        <v>16</v>
      </c>
      <c r="R51" t="s">
        <v>138</v>
      </c>
    </row>
    <row r="52" spans="1:18" x14ac:dyDescent="0.2">
      <c r="A52">
        <v>51</v>
      </c>
      <c r="B52" t="s">
        <v>70</v>
      </c>
      <c r="C52">
        <v>53</v>
      </c>
      <c r="D52">
        <v>34.700000000000003</v>
      </c>
      <c r="E52">
        <v>0.58199999999999996</v>
      </c>
      <c r="F52">
        <v>12.3</v>
      </c>
      <c r="G52">
        <v>7</v>
      </c>
      <c r="H52">
        <v>22</v>
      </c>
      <c r="I52">
        <v>3.1</v>
      </c>
      <c r="J52">
        <v>14</v>
      </c>
      <c r="K52">
        <v>8.5</v>
      </c>
      <c r="L52">
        <v>19.04</v>
      </c>
      <c r="M52">
        <v>234.3</v>
      </c>
      <c r="N52">
        <v>7.8</v>
      </c>
      <c r="O52" t="s">
        <v>53</v>
      </c>
      <c r="P52" s="1">
        <v>4190000</v>
      </c>
      <c r="Q52">
        <v>19.5</v>
      </c>
      <c r="R52" t="s">
        <v>138</v>
      </c>
    </row>
    <row r="53" spans="1:18" x14ac:dyDescent="0.2">
      <c r="A53">
        <v>52</v>
      </c>
      <c r="B53" t="s">
        <v>71</v>
      </c>
      <c r="C53">
        <v>71</v>
      </c>
      <c r="D53">
        <v>32.1</v>
      </c>
      <c r="E53">
        <v>0.60399999999999998</v>
      </c>
      <c r="F53">
        <v>9.1</v>
      </c>
      <c r="G53">
        <v>15.5</v>
      </c>
      <c r="H53">
        <v>17.3</v>
      </c>
      <c r="I53">
        <v>11.4</v>
      </c>
      <c r="J53">
        <v>29.1</v>
      </c>
      <c r="K53">
        <v>20.2</v>
      </c>
      <c r="L53">
        <v>18.989999999999998</v>
      </c>
      <c r="M53">
        <v>285.60000000000002</v>
      </c>
      <c r="N53">
        <v>9.5</v>
      </c>
      <c r="O53" t="s">
        <v>53</v>
      </c>
      <c r="P53" s="1">
        <v>22360000</v>
      </c>
      <c r="Q53">
        <v>13.7</v>
      </c>
      <c r="R53" t="s">
        <v>140</v>
      </c>
    </row>
    <row r="54" spans="1:18" x14ac:dyDescent="0.2">
      <c r="A54">
        <v>53</v>
      </c>
      <c r="B54" t="s">
        <v>72</v>
      </c>
      <c r="C54">
        <v>80</v>
      </c>
      <c r="D54">
        <v>35.299999999999997</v>
      </c>
      <c r="E54">
        <v>0.56599999999999995</v>
      </c>
      <c r="F54">
        <v>19.8</v>
      </c>
      <c r="G54">
        <v>11.9</v>
      </c>
      <c r="H54">
        <v>21.8</v>
      </c>
      <c r="I54">
        <v>4.5999999999999996</v>
      </c>
      <c r="J54">
        <v>20</v>
      </c>
      <c r="K54">
        <v>12.4</v>
      </c>
      <c r="L54">
        <v>18.86</v>
      </c>
      <c r="M54">
        <v>352.1</v>
      </c>
      <c r="N54">
        <v>11.7</v>
      </c>
      <c r="O54" t="s">
        <v>57</v>
      </c>
      <c r="P54" s="1">
        <v>2995000</v>
      </c>
      <c r="Q54">
        <v>16.899999999999999</v>
      </c>
      <c r="R54" t="s">
        <v>138</v>
      </c>
    </row>
    <row r="55" spans="1:18" x14ac:dyDescent="0.2">
      <c r="A55">
        <v>54</v>
      </c>
      <c r="B55" t="s">
        <v>73</v>
      </c>
      <c r="C55">
        <v>81</v>
      </c>
      <c r="D55">
        <v>20.8</v>
      </c>
      <c r="E55">
        <v>0.61599999999999999</v>
      </c>
      <c r="F55">
        <v>15.2</v>
      </c>
      <c r="G55">
        <v>11.1</v>
      </c>
      <c r="H55">
        <v>12.3</v>
      </c>
      <c r="I55">
        <v>14.4</v>
      </c>
      <c r="J55">
        <v>24.2</v>
      </c>
      <c r="K55">
        <v>19.3</v>
      </c>
      <c r="L55">
        <v>18.760000000000002</v>
      </c>
      <c r="M55">
        <v>205</v>
      </c>
      <c r="N55">
        <v>6.8</v>
      </c>
      <c r="O55" t="s">
        <v>53</v>
      </c>
      <c r="P55" s="1">
        <v>6980000</v>
      </c>
      <c r="Q55">
        <v>6.5</v>
      </c>
      <c r="R55" t="s">
        <v>138</v>
      </c>
    </row>
    <row r="56" spans="1:18" x14ac:dyDescent="0.2">
      <c r="A56">
        <v>55</v>
      </c>
      <c r="B56" t="s">
        <v>74</v>
      </c>
      <c r="C56">
        <v>80</v>
      </c>
      <c r="D56">
        <v>33.299999999999997</v>
      </c>
      <c r="E56">
        <v>0.59699999999999998</v>
      </c>
      <c r="F56">
        <v>9.3000000000000007</v>
      </c>
      <c r="G56">
        <v>7.7</v>
      </c>
      <c r="H56">
        <v>24.3</v>
      </c>
      <c r="I56">
        <v>1.5</v>
      </c>
      <c r="J56">
        <v>10.3</v>
      </c>
      <c r="K56">
        <v>6.2</v>
      </c>
      <c r="L56">
        <v>18.670000000000002</v>
      </c>
      <c r="M56">
        <v>325</v>
      </c>
      <c r="N56">
        <v>10.8</v>
      </c>
      <c r="O56" t="s">
        <v>53</v>
      </c>
      <c r="P56" s="1">
        <v>15500000</v>
      </c>
      <c r="Q56">
        <v>22.1</v>
      </c>
      <c r="R56" t="s">
        <v>138</v>
      </c>
    </row>
    <row r="57" spans="1:18" x14ac:dyDescent="0.2">
      <c r="A57">
        <v>56</v>
      </c>
      <c r="B57" t="s">
        <v>75</v>
      </c>
      <c r="C57">
        <v>57</v>
      </c>
      <c r="D57">
        <v>16.8</v>
      </c>
      <c r="E57">
        <v>0.57999999999999996</v>
      </c>
      <c r="F57">
        <v>11.7</v>
      </c>
      <c r="G57">
        <v>13.9</v>
      </c>
      <c r="H57">
        <v>18</v>
      </c>
      <c r="I57">
        <v>10.4</v>
      </c>
      <c r="J57">
        <v>15.8</v>
      </c>
      <c r="K57">
        <v>13.2</v>
      </c>
      <c r="L57">
        <v>18.63</v>
      </c>
      <c r="M57">
        <v>102.2</v>
      </c>
      <c r="N57">
        <v>3.4</v>
      </c>
      <c r="O57" t="s">
        <v>53</v>
      </c>
      <c r="P57" s="1">
        <v>2943000</v>
      </c>
      <c r="Q57">
        <v>7</v>
      </c>
      <c r="R57" t="s">
        <v>140</v>
      </c>
    </row>
    <row r="58" spans="1:18" x14ac:dyDescent="0.2">
      <c r="A58">
        <v>57</v>
      </c>
      <c r="B58" t="s">
        <v>76</v>
      </c>
      <c r="C58">
        <v>68</v>
      </c>
      <c r="D58">
        <v>29.6</v>
      </c>
      <c r="E58">
        <v>0.51900000000000002</v>
      </c>
      <c r="F58">
        <v>11.4</v>
      </c>
      <c r="G58">
        <v>8.4</v>
      </c>
      <c r="H58">
        <v>23.5</v>
      </c>
      <c r="I58">
        <v>9.6999999999999993</v>
      </c>
      <c r="J58">
        <v>20.7</v>
      </c>
      <c r="K58">
        <v>15</v>
      </c>
      <c r="L58">
        <v>18.39</v>
      </c>
      <c r="M58">
        <v>207.3</v>
      </c>
      <c r="N58">
        <v>6.9</v>
      </c>
      <c r="O58" t="s">
        <v>57</v>
      </c>
      <c r="P58" t="s">
        <v>80</v>
      </c>
      <c r="Q58">
        <v>15.3</v>
      </c>
      <c r="R58" t="s">
        <v>138</v>
      </c>
    </row>
    <row r="59" spans="1:18" x14ac:dyDescent="0.2">
      <c r="A59">
        <v>58</v>
      </c>
      <c r="B59" t="s">
        <v>77</v>
      </c>
      <c r="C59">
        <v>80</v>
      </c>
      <c r="D59">
        <v>36.200000000000003</v>
      </c>
      <c r="E59">
        <v>0.55900000000000005</v>
      </c>
      <c r="F59">
        <v>15.5</v>
      </c>
      <c r="G59">
        <v>10.6</v>
      </c>
      <c r="H59">
        <v>24.9</v>
      </c>
      <c r="I59">
        <v>2.5</v>
      </c>
      <c r="J59">
        <v>13.5</v>
      </c>
      <c r="K59">
        <v>8</v>
      </c>
      <c r="L59">
        <v>18.37</v>
      </c>
      <c r="M59">
        <v>339.6</v>
      </c>
      <c r="N59">
        <v>11.3</v>
      </c>
      <c r="O59" t="s">
        <v>53</v>
      </c>
      <c r="P59" s="1">
        <v>15410100</v>
      </c>
      <c r="Q59">
        <v>19.7</v>
      </c>
      <c r="R59" t="s">
        <v>138</v>
      </c>
    </row>
    <row r="60" spans="1:18" x14ac:dyDescent="0.2">
      <c r="A60">
        <v>59</v>
      </c>
      <c r="B60" t="s">
        <v>78</v>
      </c>
      <c r="C60">
        <v>77</v>
      </c>
      <c r="D60">
        <v>19.100000000000001</v>
      </c>
      <c r="E60">
        <v>0.55300000000000005</v>
      </c>
      <c r="F60">
        <v>7.9</v>
      </c>
      <c r="G60">
        <v>10.1</v>
      </c>
      <c r="H60">
        <v>15.1</v>
      </c>
      <c r="I60">
        <v>14.4</v>
      </c>
      <c r="J60">
        <v>22.7</v>
      </c>
      <c r="K60">
        <v>18.5</v>
      </c>
      <c r="L60">
        <v>18.3</v>
      </c>
      <c r="M60">
        <v>149.30000000000001</v>
      </c>
      <c r="N60">
        <v>5</v>
      </c>
      <c r="O60" t="s">
        <v>57</v>
      </c>
      <c r="P60" s="1">
        <v>1189000</v>
      </c>
      <c r="Q60">
        <v>7</v>
      </c>
      <c r="R60" t="s">
        <v>138</v>
      </c>
    </row>
    <row r="61" spans="1:18" x14ac:dyDescent="0.2">
      <c r="A61">
        <v>60</v>
      </c>
      <c r="B61" t="s">
        <v>79</v>
      </c>
      <c r="C61">
        <v>47</v>
      </c>
      <c r="D61">
        <v>23.3</v>
      </c>
      <c r="E61">
        <v>0.50700000000000001</v>
      </c>
      <c r="F61">
        <v>10.6</v>
      </c>
      <c r="G61">
        <v>5.2</v>
      </c>
      <c r="H61">
        <v>22.4</v>
      </c>
      <c r="I61">
        <v>5.6</v>
      </c>
      <c r="J61">
        <v>24.6</v>
      </c>
      <c r="K61">
        <v>15</v>
      </c>
      <c r="L61">
        <v>18.260000000000002</v>
      </c>
      <c r="M61">
        <v>125.3</v>
      </c>
      <c r="N61">
        <v>4.2</v>
      </c>
      <c r="O61" t="s">
        <v>57</v>
      </c>
      <c r="P61" s="1">
        <v>13500000</v>
      </c>
      <c r="Q61">
        <v>12</v>
      </c>
      <c r="R61" t="s">
        <v>138</v>
      </c>
    </row>
    <row r="76" spans="12:13" ht="17" thickBot="1" x14ac:dyDescent="0.25"/>
    <row r="77" spans="12:13" x14ac:dyDescent="0.2">
      <c r="L77" s="5" t="s">
        <v>135</v>
      </c>
      <c r="M77" s="5" t="s">
        <v>88</v>
      </c>
    </row>
    <row r="78" spans="12:13" x14ac:dyDescent="0.2">
      <c r="L78" s="2">
        <v>5</v>
      </c>
      <c r="M78" s="3">
        <v>0</v>
      </c>
    </row>
    <row r="79" spans="12:13" x14ac:dyDescent="0.2">
      <c r="L79" s="2">
        <v>10</v>
      </c>
      <c r="M79" s="3">
        <v>8</v>
      </c>
    </row>
    <row r="80" spans="12:13" x14ac:dyDescent="0.2">
      <c r="L80" s="2">
        <v>15</v>
      </c>
      <c r="M80" s="3">
        <v>8</v>
      </c>
    </row>
    <row r="81" spans="12:13" x14ac:dyDescent="0.2">
      <c r="L81" s="2">
        <v>20</v>
      </c>
      <c r="M81" s="3">
        <v>23</v>
      </c>
    </row>
    <row r="82" spans="12:13" x14ac:dyDescent="0.2">
      <c r="L82" s="2">
        <v>25</v>
      </c>
      <c r="M82" s="3">
        <v>15</v>
      </c>
    </row>
    <row r="83" spans="12:13" x14ac:dyDescent="0.2">
      <c r="L83" s="2">
        <v>30</v>
      </c>
      <c r="M83" s="3">
        <v>5</v>
      </c>
    </row>
    <row r="84" spans="12:13" x14ac:dyDescent="0.2">
      <c r="L84" s="2">
        <v>35</v>
      </c>
      <c r="M84" s="3">
        <v>0</v>
      </c>
    </row>
    <row r="85" spans="12:13" ht="17" thickBot="1" x14ac:dyDescent="0.25">
      <c r="L85" s="4" t="s">
        <v>87</v>
      </c>
      <c r="M85" s="4">
        <v>0</v>
      </c>
    </row>
  </sheetData>
  <sortState ref="L78:L84">
    <sortCondition ref="L7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4"/>
  <sheetViews>
    <sheetView topLeftCell="P1" workbookViewId="0">
      <selection activeCell="Y9" sqref="Y9"/>
    </sheetView>
  </sheetViews>
  <sheetFormatPr baseColWidth="10" defaultRowHeight="16" x14ac:dyDescent="0.2"/>
  <cols>
    <col min="22" max="22" width="12.5" bestFit="1" customWidth="1"/>
  </cols>
  <sheetData>
    <row r="1" spans="1:23" x14ac:dyDescent="0.2">
      <c r="B1" t="s">
        <v>103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52</v>
      </c>
      <c r="P1" t="s">
        <v>59</v>
      </c>
      <c r="Q1" t="s">
        <v>58</v>
      </c>
      <c r="R1" t="s">
        <v>98</v>
      </c>
      <c r="S1" t="s">
        <v>99</v>
      </c>
      <c r="V1" t="s">
        <v>11</v>
      </c>
      <c r="W1" t="s">
        <v>58</v>
      </c>
    </row>
    <row r="2" spans="1:23" x14ac:dyDescent="0.2">
      <c r="A2">
        <v>1</v>
      </c>
      <c r="B2" t="s">
        <v>0</v>
      </c>
      <c r="C2">
        <v>79</v>
      </c>
      <c r="D2">
        <v>34.200000000000003</v>
      </c>
      <c r="E2">
        <v>0.66900000000000004</v>
      </c>
      <c r="F2">
        <v>20.6</v>
      </c>
      <c r="G2">
        <v>10.199999999999999</v>
      </c>
      <c r="H2">
        <v>31.6</v>
      </c>
      <c r="I2">
        <v>2.9</v>
      </c>
      <c r="J2">
        <v>13.6</v>
      </c>
      <c r="K2">
        <v>8.6</v>
      </c>
      <c r="L2">
        <v>31.56</v>
      </c>
      <c r="M2">
        <v>828.6</v>
      </c>
      <c r="N2">
        <v>27.6</v>
      </c>
      <c r="O2" t="s">
        <v>53</v>
      </c>
      <c r="P2" s="1">
        <v>11370786</v>
      </c>
      <c r="Q2">
        <v>30.1</v>
      </c>
      <c r="R2">
        <f>$V$8+$V$9*D2</f>
        <v>20.48496088392162</v>
      </c>
      <c r="S2">
        <f>Q2-R2</f>
        <v>9.6150391160783819</v>
      </c>
      <c r="U2" t="s">
        <v>100</v>
      </c>
      <c r="V2">
        <f>AVERAGE(D:D)</f>
        <v>24.041666666666668</v>
      </c>
      <c r="W2">
        <f>AVERAGE(Q:Q)</f>
        <v>17.651666666666664</v>
      </c>
    </row>
    <row r="3" spans="1:23" x14ac:dyDescent="0.2">
      <c r="A3">
        <v>2</v>
      </c>
      <c r="B3" t="s">
        <v>1</v>
      </c>
      <c r="C3">
        <v>72</v>
      </c>
      <c r="D3">
        <v>35.799999999999997</v>
      </c>
      <c r="E3">
        <v>0.63400000000000001</v>
      </c>
      <c r="F3">
        <v>16.3</v>
      </c>
      <c r="G3">
        <v>11.3</v>
      </c>
      <c r="H3">
        <v>30.2</v>
      </c>
      <c r="I3">
        <v>2</v>
      </c>
      <c r="J3">
        <v>21.8</v>
      </c>
      <c r="K3">
        <v>12.4</v>
      </c>
      <c r="L3">
        <v>28.25</v>
      </c>
      <c r="M3">
        <v>682.8</v>
      </c>
      <c r="N3">
        <v>22.8</v>
      </c>
      <c r="O3" t="s">
        <v>53</v>
      </c>
      <c r="P3" s="1">
        <v>20158622</v>
      </c>
      <c r="Q3">
        <v>28.2</v>
      </c>
      <c r="R3">
        <f t="shared" ref="R3:R61" si="0">$V$8+$V$9*D3</f>
        <v>21.687951794388113</v>
      </c>
      <c r="S3">
        <f t="shared" ref="S3:S61" si="1">Q3-R3</f>
        <v>6.5120482056118867</v>
      </c>
      <c r="U3" t="s">
        <v>101</v>
      </c>
      <c r="V3">
        <f>_xlfn.STDEV.S(D:D)</f>
        <v>8.8482594151545584</v>
      </c>
      <c r="W3">
        <f>_xlfn.STDEV.S(Q:Q)</f>
        <v>5.7662222649703354</v>
      </c>
    </row>
    <row r="4" spans="1:23" x14ac:dyDescent="0.2">
      <c r="A4">
        <v>3</v>
      </c>
      <c r="B4" t="s">
        <v>2</v>
      </c>
      <c r="C4">
        <v>54</v>
      </c>
      <c r="D4">
        <v>9.4</v>
      </c>
      <c r="E4">
        <v>0.66200000000000003</v>
      </c>
      <c r="F4">
        <v>7.7</v>
      </c>
      <c r="G4">
        <v>10.6</v>
      </c>
      <c r="H4">
        <v>21</v>
      </c>
      <c r="I4">
        <v>16.899999999999999</v>
      </c>
      <c r="J4">
        <v>26.2</v>
      </c>
      <c r="K4">
        <v>21.7</v>
      </c>
      <c r="L4">
        <v>27.77</v>
      </c>
      <c r="M4">
        <v>130.19999999999999</v>
      </c>
      <c r="N4">
        <v>4.3</v>
      </c>
      <c r="O4" t="s">
        <v>54</v>
      </c>
      <c r="P4" s="1">
        <v>1200000</v>
      </c>
      <c r="Q4">
        <v>5.5</v>
      </c>
      <c r="R4">
        <f t="shared" si="0"/>
        <v>1.8386017716909153</v>
      </c>
      <c r="S4">
        <f t="shared" si="1"/>
        <v>3.6613982283090847</v>
      </c>
    </row>
    <row r="5" spans="1:23" x14ac:dyDescent="0.2">
      <c r="A5">
        <v>4</v>
      </c>
      <c r="B5" t="s">
        <v>3</v>
      </c>
      <c r="C5">
        <v>80</v>
      </c>
      <c r="D5">
        <v>34.4</v>
      </c>
      <c r="E5">
        <v>0.55400000000000005</v>
      </c>
      <c r="F5">
        <v>29</v>
      </c>
      <c r="G5">
        <v>11.9</v>
      </c>
      <c r="H5">
        <v>33.299999999999997</v>
      </c>
      <c r="I5">
        <v>6.1</v>
      </c>
      <c r="J5">
        <v>18.100000000000001</v>
      </c>
      <c r="K5">
        <v>12.4</v>
      </c>
      <c r="L5">
        <v>27.64</v>
      </c>
      <c r="M5">
        <v>683</v>
      </c>
      <c r="N5">
        <v>22.8</v>
      </c>
      <c r="O5" t="s">
        <v>53</v>
      </c>
      <c r="P5" s="1">
        <v>16744218</v>
      </c>
      <c r="Q5">
        <v>23.5</v>
      </c>
      <c r="R5">
        <f t="shared" si="0"/>
        <v>20.635334747729928</v>
      </c>
      <c r="S5">
        <f t="shared" si="1"/>
        <v>2.864665252270072</v>
      </c>
      <c r="U5" t="s">
        <v>94</v>
      </c>
      <c r="V5">
        <f>CORREL(Q:Q,D:D)</f>
        <v>0.84113165893204478</v>
      </c>
    </row>
    <row r="6" spans="1:23" x14ac:dyDescent="0.2">
      <c r="A6">
        <v>5</v>
      </c>
      <c r="B6" t="s">
        <v>4</v>
      </c>
      <c r="C6">
        <v>76</v>
      </c>
      <c r="D6">
        <v>35.6</v>
      </c>
      <c r="E6">
        <v>0.58799999999999997</v>
      </c>
      <c r="F6">
        <v>21.5</v>
      </c>
      <c r="G6">
        <v>10.4</v>
      </c>
      <c r="H6">
        <v>31.1</v>
      </c>
      <c r="I6">
        <v>4.7</v>
      </c>
      <c r="J6">
        <v>18.8</v>
      </c>
      <c r="K6">
        <v>11.8</v>
      </c>
      <c r="L6">
        <v>27.64</v>
      </c>
      <c r="M6">
        <v>692.9</v>
      </c>
      <c r="N6">
        <v>23.1</v>
      </c>
      <c r="O6" t="s">
        <v>53</v>
      </c>
      <c r="P6" s="1">
        <v>22970500</v>
      </c>
      <c r="Q6">
        <v>25.3</v>
      </c>
      <c r="R6">
        <f t="shared" si="0"/>
        <v>21.537577930579801</v>
      </c>
      <c r="S6">
        <f t="shared" si="1"/>
        <v>3.7624220694202002</v>
      </c>
      <c r="U6" t="s">
        <v>95</v>
      </c>
      <c r="V6">
        <f>V5^2</f>
        <v>0.70750246765777369</v>
      </c>
    </row>
    <row r="7" spans="1:23" x14ac:dyDescent="0.2">
      <c r="A7">
        <v>6</v>
      </c>
      <c r="B7" t="s">
        <v>5</v>
      </c>
      <c r="C7">
        <v>74</v>
      </c>
      <c r="D7">
        <v>32.700000000000003</v>
      </c>
      <c r="E7">
        <v>0.57499999999999996</v>
      </c>
      <c r="F7">
        <v>33.700000000000003</v>
      </c>
      <c r="G7">
        <v>8.9</v>
      </c>
      <c r="H7">
        <v>28.1</v>
      </c>
      <c r="I7">
        <v>1.8</v>
      </c>
      <c r="J7">
        <v>12</v>
      </c>
      <c r="K7">
        <v>7</v>
      </c>
      <c r="L7">
        <v>26.31</v>
      </c>
      <c r="M7">
        <v>552.79999999999995</v>
      </c>
      <c r="N7">
        <v>18.399999999999999</v>
      </c>
      <c r="O7" t="s">
        <v>53</v>
      </c>
      <c r="P7" s="1">
        <v>21468695</v>
      </c>
      <c r="Q7">
        <v>19.5</v>
      </c>
      <c r="R7">
        <f t="shared" si="0"/>
        <v>19.357156905359279</v>
      </c>
      <c r="S7">
        <f t="shared" si="1"/>
        <v>0.14284309464072109</v>
      </c>
    </row>
    <row r="8" spans="1:23" x14ac:dyDescent="0.2">
      <c r="A8">
        <v>7</v>
      </c>
      <c r="B8" t="s">
        <v>6</v>
      </c>
      <c r="C8">
        <v>72</v>
      </c>
      <c r="D8">
        <v>33.1</v>
      </c>
      <c r="E8">
        <v>0.61599999999999999</v>
      </c>
      <c r="F8">
        <v>12.2</v>
      </c>
      <c r="G8">
        <v>6.9</v>
      </c>
      <c r="H8">
        <v>24.2</v>
      </c>
      <c r="I8">
        <v>4.7</v>
      </c>
      <c r="J8">
        <v>18.399999999999999</v>
      </c>
      <c r="K8">
        <v>11.8</v>
      </c>
      <c r="L8">
        <v>26.11</v>
      </c>
      <c r="M8">
        <v>554.6</v>
      </c>
      <c r="N8">
        <v>18.5</v>
      </c>
      <c r="O8" t="s">
        <v>53</v>
      </c>
      <c r="P8" s="1">
        <v>16407500</v>
      </c>
      <c r="Q8">
        <v>21.2</v>
      </c>
      <c r="R8">
        <f t="shared" si="0"/>
        <v>19.6579046329759</v>
      </c>
      <c r="S8">
        <f t="shared" si="1"/>
        <v>1.5420953670240998</v>
      </c>
      <c r="U8" t="s">
        <v>96</v>
      </c>
      <c r="V8">
        <f>INTERCEPT(Q:Q,D:D)</f>
        <v>-5.2289698272997533</v>
      </c>
    </row>
    <row r="9" spans="1:23" x14ac:dyDescent="0.2">
      <c r="A9">
        <v>8</v>
      </c>
      <c r="B9" t="s">
        <v>7</v>
      </c>
      <c r="C9">
        <v>73</v>
      </c>
      <c r="D9">
        <v>29.1</v>
      </c>
      <c r="E9">
        <v>0.629</v>
      </c>
      <c r="F9">
        <v>2.9</v>
      </c>
      <c r="G9">
        <v>13.8</v>
      </c>
      <c r="H9">
        <v>18.8</v>
      </c>
      <c r="I9">
        <v>13.1</v>
      </c>
      <c r="J9">
        <v>32.4</v>
      </c>
      <c r="K9">
        <v>23.1</v>
      </c>
      <c r="L9">
        <v>25.69</v>
      </c>
      <c r="M9">
        <v>478.5</v>
      </c>
      <c r="N9">
        <v>16</v>
      </c>
      <c r="O9" t="s">
        <v>55</v>
      </c>
      <c r="P9" s="1">
        <v>981348</v>
      </c>
      <c r="Q9">
        <v>14.2</v>
      </c>
      <c r="R9">
        <f t="shared" si="0"/>
        <v>16.650427356809658</v>
      </c>
      <c r="S9">
        <f t="shared" si="1"/>
        <v>-2.4504273568096586</v>
      </c>
      <c r="U9" t="s">
        <v>97</v>
      </c>
      <c r="V9">
        <f>SLOPE(Q:Q,D:D)</f>
        <v>0.75186931904156051</v>
      </c>
    </row>
    <row r="10" spans="1:23" x14ac:dyDescent="0.2">
      <c r="A10">
        <v>9</v>
      </c>
      <c r="B10" t="s">
        <v>8</v>
      </c>
      <c r="C10">
        <v>82</v>
      </c>
      <c r="D10">
        <v>38.1</v>
      </c>
      <c r="E10">
        <v>0.59799999999999998</v>
      </c>
      <c r="F10">
        <v>20.6</v>
      </c>
      <c r="G10">
        <v>12.6</v>
      </c>
      <c r="H10">
        <v>32.200000000000003</v>
      </c>
      <c r="I10">
        <v>2.2000000000000002</v>
      </c>
      <c r="J10">
        <v>15.6</v>
      </c>
      <c r="K10">
        <v>8.8000000000000007</v>
      </c>
      <c r="L10">
        <v>25.36</v>
      </c>
      <c r="M10">
        <v>693.1</v>
      </c>
      <c r="N10">
        <v>23.1</v>
      </c>
      <c r="O10" t="s">
        <v>56</v>
      </c>
      <c r="P10" s="1">
        <v>15756438</v>
      </c>
      <c r="Q10">
        <v>29</v>
      </c>
      <c r="R10">
        <f t="shared" si="0"/>
        <v>23.417251228183702</v>
      </c>
      <c r="S10">
        <f t="shared" si="1"/>
        <v>5.5827487718162985</v>
      </c>
    </row>
    <row r="11" spans="1:23" x14ac:dyDescent="0.2">
      <c r="A11">
        <v>10</v>
      </c>
      <c r="B11" t="s">
        <v>9</v>
      </c>
      <c r="C11">
        <v>61</v>
      </c>
      <c r="D11">
        <v>35.5</v>
      </c>
      <c r="E11">
        <v>0.55900000000000005</v>
      </c>
      <c r="F11">
        <v>7.4</v>
      </c>
      <c r="G11">
        <v>7.7</v>
      </c>
      <c r="H11">
        <v>27.2</v>
      </c>
      <c r="I11">
        <v>6.4</v>
      </c>
      <c r="J11">
        <v>26.4</v>
      </c>
      <c r="K11">
        <v>16.100000000000001</v>
      </c>
      <c r="L11">
        <v>25.1</v>
      </c>
      <c r="M11">
        <v>439.1</v>
      </c>
      <c r="N11">
        <v>14.6</v>
      </c>
      <c r="O11" t="s">
        <v>56</v>
      </c>
      <c r="P11" s="1">
        <v>7070730</v>
      </c>
      <c r="Q11">
        <v>24.3</v>
      </c>
      <c r="R11">
        <f t="shared" si="0"/>
        <v>21.462390998675644</v>
      </c>
      <c r="S11">
        <f t="shared" si="1"/>
        <v>2.8376090013243562</v>
      </c>
      <c r="U11" t="s">
        <v>102</v>
      </c>
      <c r="V11">
        <f>AVERAGE(S:S)</f>
        <v>-3.1086244689504383E-15</v>
      </c>
    </row>
    <row r="12" spans="1:23" x14ac:dyDescent="0.2">
      <c r="A12">
        <v>11</v>
      </c>
      <c r="B12" t="s">
        <v>22</v>
      </c>
      <c r="C12">
        <v>82</v>
      </c>
      <c r="D12">
        <v>21</v>
      </c>
      <c r="E12">
        <v>0.626</v>
      </c>
      <c r="F12">
        <v>3.4</v>
      </c>
      <c r="G12">
        <v>11.8</v>
      </c>
      <c r="H12">
        <v>21.9</v>
      </c>
      <c r="I12">
        <v>16.7</v>
      </c>
      <c r="J12">
        <v>24.9</v>
      </c>
      <c r="K12">
        <v>21</v>
      </c>
      <c r="L12">
        <v>24.09</v>
      </c>
      <c r="M12">
        <v>346.5</v>
      </c>
      <c r="N12">
        <v>11.6</v>
      </c>
      <c r="O12" t="s">
        <v>56</v>
      </c>
      <c r="P12" s="1">
        <v>16407500</v>
      </c>
      <c r="Q12">
        <v>12.7</v>
      </c>
      <c r="R12">
        <f t="shared" si="0"/>
        <v>10.560285872573017</v>
      </c>
      <c r="S12">
        <f t="shared" si="1"/>
        <v>2.1397141274269824</v>
      </c>
    </row>
    <row r="13" spans="1:23" x14ac:dyDescent="0.2">
      <c r="A13">
        <v>12</v>
      </c>
      <c r="B13" t="s">
        <v>23</v>
      </c>
      <c r="C13">
        <v>65</v>
      </c>
      <c r="D13">
        <v>34.6</v>
      </c>
      <c r="E13">
        <v>0.53800000000000003</v>
      </c>
      <c r="F13">
        <v>10.3</v>
      </c>
      <c r="G13">
        <v>11.9</v>
      </c>
      <c r="H13">
        <v>33.200000000000003</v>
      </c>
      <c r="I13">
        <v>7.7</v>
      </c>
      <c r="J13">
        <v>28.2</v>
      </c>
      <c r="K13">
        <v>18</v>
      </c>
      <c r="L13">
        <v>23.67</v>
      </c>
      <c r="M13">
        <v>438</v>
      </c>
      <c r="N13">
        <v>14.6</v>
      </c>
      <c r="O13" t="s">
        <v>56</v>
      </c>
      <c r="P13" s="1">
        <v>15851950</v>
      </c>
      <c r="Q13">
        <v>26.9</v>
      </c>
      <c r="R13">
        <f t="shared" si="0"/>
        <v>20.78570861153824</v>
      </c>
      <c r="S13">
        <f t="shared" si="1"/>
        <v>6.1142913884617585</v>
      </c>
    </row>
    <row r="14" spans="1:23" x14ac:dyDescent="0.2">
      <c r="A14">
        <v>13</v>
      </c>
      <c r="B14" t="s">
        <v>24</v>
      </c>
      <c r="C14">
        <v>60</v>
      </c>
      <c r="D14">
        <v>26</v>
      </c>
      <c r="E14">
        <v>0.61</v>
      </c>
      <c r="F14">
        <v>5.6</v>
      </c>
      <c r="G14">
        <v>11.2</v>
      </c>
      <c r="H14">
        <v>19.3</v>
      </c>
      <c r="I14">
        <v>13.8</v>
      </c>
      <c r="J14">
        <v>26.3</v>
      </c>
      <c r="K14">
        <v>20.100000000000001</v>
      </c>
      <c r="L14">
        <v>22.63</v>
      </c>
      <c r="M14">
        <v>279.60000000000002</v>
      </c>
      <c r="N14">
        <v>9.3000000000000007</v>
      </c>
      <c r="O14" t="s">
        <v>53</v>
      </c>
      <c r="P14" s="1">
        <v>4660000</v>
      </c>
      <c r="Q14">
        <v>12.8</v>
      </c>
      <c r="R14">
        <f t="shared" si="0"/>
        <v>14.319632467780821</v>
      </c>
      <c r="S14">
        <f t="shared" si="1"/>
        <v>-1.51963246778082</v>
      </c>
    </row>
    <row r="15" spans="1:23" x14ac:dyDescent="0.2">
      <c r="A15">
        <v>14</v>
      </c>
      <c r="B15" t="s">
        <v>25</v>
      </c>
      <c r="C15">
        <v>82</v>
      </c>
      <c r="D15">
        <v>32</v>
      </c>
      <c r="E15">
        <v>0.59</v>
      </c>
      <c r="F15">
        <v>10</v>
      </c>
      <c r="G15">
        <v>11.3</v>
      </c>
      <c r="H15">
        <v>23.1</v>
      </c>
      <c r="I15">
        <v>10.199999999999999</v>
      </c>
      <c r="J15">
        <v>27.5</v>
      </c>
      <c r="K15">
        <v>19</v>
      </c>
      <c r="L15">
        <v>22.59</v>
      </c>
      <c r="M15">
        <v>469.9</v>
      </c>
      <c r="N15">
        <v>15.7</v>
      </c>
      <c r="O15" t="s">
        <v>53</v>
      </c>
      <c r="P15" s="1">
        <v>5703600</v>
      </c>
      <c r="Q15">
        <v>18.3</v>
      </c>
      <c r="R15">
        <f t="shared" si="0"/>
        <v>18.830848382030183</v>
      </c>
      <c r="S15">
        <f t="shared" si="1"/>
        <v>-0.53084838203018236</v>
      </c>
    </row>
    <row r="16" spans="1:23" x14ac:dyDescent="0.2">
      <c r="A16">
        <v>15</v>
      </c>
      <c r="B16" t="s">
        <v>26</v>
      </c>
      <c r="C16">
        <v>36</v>
      </c>
      <c r="D16">
        <v>15.8</v>
      </c>
      <c r="E16">
        <v>0.60499999999999998</v>
      </c>
      <c r="F16">
        <v>9.3000000000000007</v>
      </c>
      <c r="G16">
        <v>6.4</v>
      </c>
      <c r="H16">
        <v>22.2</v>
      </c>
      <c r="I16">
        <v>9.1</v>
      </c>
      <c r="J16">
        <v>19.2</v>
      </c>
      <c r="K16">
        <v>14</v>
      </c>
      <c r="L16">
        <v>22.51</v>
      </c>
      <c r="M16">
        <v>93.5</v>
      </c>
      <c r="N16">
        <v>3.1</v>
      </c>
      <c r="O16" t="s">
        <v>55</v>
      </c>
      <c r="P16" s="1">
        <v>6500000</v>
      </c>
      <c r="Q16">
        <v>9.8000000000000007</v>
      </c>
      <c r="R16">
        <f t="shared" si="0"/>
        <v>6.6505654135569028</v>
      </c>
      <c r="S16">
        <f t="shared" si="1"/>
        <v>3.1494345864430979</v>
      </c>
    </row>
    <row r="17" spans="1:19" x14ac:dyDescent="0.2">
      <c r="A17">
        <v>16</v>
      </c>
      <c r="B17" t="s">
        <v>27</v>
      </c>
      <c r="C17">
        <v>74</v>
      </c>
      <c r="D17">
        <v>30.6</v>
      </c>
      <c r="E17">
        <v>0.56499999999999995</v>
      </c>
      <c r="F17">
        <v>7.9</v>
      </c>
      <c r="G17">
        <v>7.1</v>
      </c>
      <c r="H17">
        <v>23.8</v>
      </c>
      <c r="I17">
        <v>9.1999999999999993</v>
      </c>
      <c r="J17">
        <v>22.2</v>
      </c>
      <c r="K17">
        <v>15.9</v>
      </c>
      <c r="L17">
        <v>22.43</v>
      </c>
      <c r="M17">
        <v>369</v>
      </c>
      <c r="N17">
        <v>12.3</v>
      </c>
      <c r="O17" t="s">
        <v>53</v>
      </c>
      <c r="P17" s="1">
        <v>19689000</v>
      </c>
      <c r="Q17">
        <v>18</v>
      </c>
      <c r="R17">
        <f t="shared" si="0"/>
        <v>17.778231335371999</v>
      </c>
      <c r="S17">
        <f t="shared" si="1"/>
        <v>0.22176866462800149</v>
      </c>
    </row>
    <row r="18" spans="1:19" x14ac:dyDescent="0.2">
      <c r="A18">
        <v>17</v>
      </c>
      <c r="B18" t="s">
        <v>28</v>
      </c>
      <c r="C18">
        <v>75</v>
      </c>
      <c r="D18">
        <v>35.700000000000003</v>
      </c>
      <c r="E18">
        <v>0.56000000000000005</v>
      </c>
      <c r="F18">
        <v>21.1</v>
      </c>
      <c r="G18">
        <v>10</v>
      </c>
      <c r="H18">
        <v>31.2</v>
      </c>
      <c r="I18">
        <v>1.8</v>
      </c>
      <c r="J18">
        <v>10.4</v>
      </c>
      <c r="K18">
        <v>6.1</v>
      </c>
      <c r="L18">
        <v>22.25</v>
      </c>
      <c r="M18">
        <v>449.1</v>
      </c>
      <c r="N18">
        <v>15</v>
      </c>
      <c r="O18" t="s">
        <v>53</v>
      </c>
      <c r="P18" s="1">
        <v>4236287</v>
      </c>
      <c r="Q18">
        <v>25.1</v>
      </c>
      <c r="R18">
        <f t="shared" si="0"/>
        <v>21.61276486248396</v>
      </c>
      <c r="S18">
        <f t="shared" si="1"/>
        <v>3.4872351375160413</v>
      </c>
    </row>
    <row r="19" spans="1:19" x14ac:dyDescent="0.2">
      <c r="A19">
        <v>18</v>
      </c>
      <c r="B19" t="s">
        <v>29</v>
      </c>
      <c r="C19">
        <v>35</v>
      </c>
      <c r="D19">
        <v>33.4</v>
      </c>
      <c r="E19">
        <v>0.54400000000000004</v>
      </c>
      <c r="F19">
        <v>18.100000000000001</v>
      </c>
      <c r="G19">
        <v>8.8000000000000007</v>
      </c>
      <c r="H19">
        <v>28.3</v>
      </c>
      <c r="I19">
        <v>4.8</v>
      </c>
      <c r="J19">
        <v>22.3</v>
      </c>
      <c r="K19">
        <v>13.7</v>
      </c>
      <c r="L19">
        <v>22.22</v>
      </c>
      <c r="M19">
        <v>187.1</v>
      </c>
      <c r="N19">
        <v>6.2</v>
      </c>
      <c r="O19" t="s">
        <v>53</v>
      </c>
      <c r="P19" s="1">
        <v>20149839</v>
      </c>
      <c r="Q19">
        <v>21.4</v>
      </c>
      <c r="R19">
        <f t="shared" si="0"/>
        <v>19.883465428688368</v>
      </c>
      <c r="S19">
        <f t="shared" si="1"/>
        <v>1.5165345713116309</v>
      </c>
    </row>
    <row r="20" spans="1:19" x14ac:dyDescent="0.2">
      <c r="A20">
        <v>19</v>
      </c>
      <c r="B20" t="s">
        <v>30</v>
      </c>
      <c r="C20">
        <v>77</v>
      </c>
      <c r="D20">
        <v>37</v>
      </c>
      <c r="E20">
        <v>0.57799999999999996</v>
      </c>
      <c r="F20">
        <v>23.2</v>
      </c>
      <c r="G20">
        <v>10.5</v>
      </c>
      <c r="H20">
        <v>26</v>
      </c>
      <c r="I20">
        <v>2.2000000000000002</v>
      </c>
      <c r="J20">
        <v>12.3</v>
      </c>
      <c r="K20">
        <v>7.3</v>
      </c>
      <c r="L20">
        <v>22.2</v>
      </c>
      <c r="M20">
        <v>476.5</v>
      </c>
      <c r="N20">
        <v>15.9</v>
      </c>
      <c r="O20" t="s">
        <v>57</v>
      </c>
      <c r="P20" s="1">
        <v>12000000</v>
      </c>
      <c r="Q20">
        <v>21.2</v>
      </c>
      <c r="R20">
        <f t="shared" si="0"/>
        <v>22.590194977237985</v>
      </c>
      <c r="S20">
        <f t="shared" si="1"/>
        <v>-1.3901949772379858</v>
      </c>
    </row>
    <row r="21" spans="1:19" x14ac:dyDescent="0.2">
      <c r="A21">
        <v>20</v>
      </c>
      <c r="B21" t="s">
        <v>31</v>
      </c>
      <c r="C21">
        <v>79</v>
      </c>
      <c r="D21">
        <v>29.3</v>
      </c>
      <c r="E21">
        <v>0.56200000000000006</v>
      </c>
      <c r="F21">
        <v>12.9</v>
      </c>
      <c r="G21">
        <v>9.3000000000000007</v>
      </c>
      <c r="H21">
        <v>22.2</v>
      </c>
      <c r="I21">
        <v>10.9</v>
      </c>
      <c r="J21">
        <v>23.4</v>
      </c>
      <c r="K21">
        <v>17.2</v>
      </c>
      <c r="L21">
        <v>21.87</v>
      </c>
      <c r="M21">
        <v>389.2</v>
      </c>
      <c r="N21">
        <v>13</v>
      </c>
      <c r="O21" t="s">
        <v>53</v>
      </c>
      <c r="P21" s="1">
        <v>16410000</v>
      </c>
      <c r="Q21">
        <v>15.3</v>
      </c>
      <c r="R21">
        <f t="shared" si="0"/>
        <v>16.80080122061797</v>
      </c>
      <c r="S21">
        <f t="shared" si="1"/>
        <v>-1.5008012206179693</v>
      </c>
    </row>
    <row r="22" spans="1:19" x14ac:dyDescent="0.2">
      <c r="A22">
        <v>21</v>
      </c>
      <c r="B22" t="s">
        <v>32</v>
      </c>
      <c r="C22">
        <v>73</v>
      </c>
      <c r="D22">
        <v>33.700000000000003</v>
      </c>
      <c r="E22">
        <v>0.56200000000000006</v>
      </c>
      <c r="F22">
        <v>8.8000000000000007</v>
      </c>
      <c r="G22">
        <v>10.6</v>
      </c>
      <c r="H22">
        <v>25.5</v>
      </c>
      <c r="I22">
        <v>9.1999999999999993</v>
      </c>
      <c r="J22">
        <v>17.2</v>
      </c>
      <c r="K22">
        <v>13.1</v>
      </c>
      <c r="L22">
        <v>21.8</v>
      </c>
      <c r="M22">
        <v>410.8</v>
      </c>
      <c r="N22">
        <v>13.7</v>
      </c>
      <c r="O22" t="s">
        <v>56</v>
      </c>
      <c r="P22" s="1">
        <v>19690000</v>
      </c>
      <c r="Q22">
        <v>20.6</v>
      </c>
      <c r="R22">
        <f t="shared" si="0"/>
        <v>20.109026224400839</v>
      </c>
      <c r="S22">
        <f t="shared" si="1"/>
        <v>0.49097377559916211</v>
      </c>
    </row>
    <row r="23" spans="1:19" x14ac:dyDescent="0.2">
      <c r="A23">
        <v>22</v>
      </c>
      <c r="B23" t="s">
        <v>33</v>
      </c>
      <c r="C23">
        <v>72</v>
      </c>
      <c r="D23">
        <v>31.8</v>
      </c>
      <c r="E23">
        <v>0.52900000000000003</v>
      </c>
      <c r="F23">
        <v>18.600000000000001</v>
      </c>
      <c r="G23">
        <v>10.4</v>
      </c>
      <c r="H23">
        <v>24.1</v>
      </c>
      <c r="I23">
        <v>7.3</v>
      </c>
      <c r="J23">
        <v>28.7</v>
      </c>
      <c r="K23">
        <v>18.2</v>
      </c>
      <c r="L23">
        <v>21.76</v>
      </c>
      <c r="M23">
        <v>381.6</v>
      </c>
      <c r="N23">
        <v>12.7</v>
      </c>
      <c r="O23" t="s">
        <v>56</v>
      </c>
      <c r="P23" s="1">
        <v>7448760</v>
      </c>
      <c r="Q23">
        <v>16.5</v>
      </c>
      <c r="R23">
        <f t="shared" si="0"/>
        <v>18.680474518221871</v>
      </c>
      <c r="S23">
        <f t="shared" si="1"/>
        <v>-2.180474518221871</v>
      </c>
    </row>
    <row r="24" spans="1:19" x14ac:dyDescent="0.2">
      <c r="A24">
        <v>23</v>
      </c>
      <c r="B24" t="s">
        <v>34</v>
      </c>
      <c r="C24">
        <v>62</v>
      </c>
      <c r="D24">
        <v>32</v>
      </c>
      <c r="E24">
        <v>0.55100000000000005</v>
      </c>
      <c r="F24">
        <v>8.4</v>
      </c>
      <c r="G24">
        <v>9.3000000000000007</v>
      </c>
      <c r="H24">
        <v>22.4</v>
      </c>
      <c r="I24">
        <v>10</v>
      </c>
      <c r="J24">
        <v>19.600000000000001</v>
      </c>
      <c r="K24">
        <v>14.8</v>
      </c>
      <c r="L24">
        <v>21.71</v>
      </c>
      <c r="M24">
        <v>302.10000000000002</v>
      </c>
      <c r="N24">
        <v>10.1</v>
      </c>
      <c r="O24" t="s">
        <v>56</v>
      </c>
      <c r="P24" s="1">
        <v>12000000</v>
      </c>
      <c r="Q24">
        <v>16.399999999999999</v>
      </c>
      <c r="R24">
        <f t="shared" si="0"/>
        <v>18.830848382030183</v>
      </c>
      <c r="S24">
        <f t="shared" si="1"/>
        <v>-2.4308483820301845</v>
      </c>
    </row>
    <row r="25" spans="1:19" x14ac:dyDescent="0.2">
      <c r="A25">
        <v>24</v>
      </c>
      <c r="B25" t="s">
        <v>35</v>
      </c>
      <c r="C25">
        <v>78</v>
      </c>
      <c r="D25">
        <v>35.9</v>
      </c>
      <c r="E25">
        <v>0.55000000000000004</v>
      </c>
      <c r="F25">
        <v>14.6</v>
      </c>
      <c r="G25">
        <v>8.1</v>
      </c>
      <c r="H25">
        <v>28.5</v>
      </c>
      <c r="I25">
        <v>2.7</v>
      </c>
      <c r="J25">
        <v>11.5</v>
      </c>
      <c r="K25">
        <v>7.1</v>
      </c>
      <c r="L25">
        <v>21.58</v>
      </c>
      <c r="M25">
        <v>463.9</v>
      </c>
      <c r="N25">
        <v>15.5</v>
      </c>
      <c r="O25" t="s">
        <v>56</v>
      </c>
      <c r="P25" s="1">
        <v>10050000</v>
      </c>
      <c r="Q25">
        <v>23.5</v>
      </c>
      <c r="R25">
        <f t="shared" si="0"/>
        <v>21.763138726292269</v>
      </c>
      <c r="S25">
        <f t="shared" si="1"/>
        <v>1.7368612737077314</v>
      </c>
    </row>
    <row r="26" spans="1:19" x14ac:dyDescent="0.2">
      <c r="A26">
        <v>25</v>
      </c>
      <c r="B26" t="s">
        <v>36</v>
      </c>
      <c r="C26">
        <v>80</v>
      </c>
      <c r="D26">
        <v>21.7</v>
      </c>
      <c r="E26">
        <v>0.58199999999999996</v>
      </c>
      <c r="F26">
        <v>19.399999999999999</v>
      </c>
      <c r="G26">
        <v>10.6</v>
      </c>
      <c r="H26">
        <v>19.600000000000001</v>
      </c>
      <c r="I26">
        <v>11.4</v>
      </c>
      <c r="J26">
        <v>24.7</v>
      </c>
      <c r="K26">
        <v>17.899999999999999</v>
      </c>
      <c r="L26">
        <v>21.58</v>
      </c>
      <c r="M26">
        <v>284.10000000000002</v>
      </c>
      <c r="N26">
        <v>9.5</v>
      </c>
      <c r="O26" t="s">
        <v>55</v>
      </c>
      <c r="P26" s="1">
        <v>1300000</v>
      </c>
      <c r="Q26">
        <v>10</v>
      </c>
      <c r="R26">
        <f t="shared" si="0"/>
        <v>11.086594395902111</v>
      </c>
      <c r="S26">
        <f t="shared" si="1"/>
        <v>-1.0865943959021109</v>
      </c>
    </row>
    <row r="27" spans="1:19" x14ac:dyDescent="0.2">
      <c r="A27">
        <v>26</v>
      </c>
      <c r="B27" t="s">
        <v>37</v>
      </c>
      <c r="C27">
        <v>82</v>
      </c>
      <c r="D27">
        <v>32.200000000000003</v>
      </c>
      <c r="E27">
        <v>0.56200000000000006</v>
      </c>
      <c r="F27">
        <v>21.7</v>
      </c>
      <c r="G27">
        <v>9.4</v>
      </c>
      <c r="H27">
        <v>29.5</v>
      </c>
      <c r="I27">
        <v>1.8</v>
      </c>
      <c r="J27">
        <v>8</v>
      </c>
      <c r="K27">
        <v>4.9000000000000004</v>
      </c>
      <c r="L27">
        <v>21.54</v>
      </c>
      <c r="M27">
        <v>415.8</v>
      </c>
      <c r="N27">
        <v>13.9</v>
      </c>
      <c r="O27" t="s">
        <v>55</v>
      </c>
      <c r="P27" s="1">
        <v>6912869</v>
      </c>
      <c r="Q27">
        <v>22.2</v>
      </c>
      <c r="R27">
        <f t="shared" si="0"/>
        <v>18.981222245838499</v>
      </c>
      <c r="S27">
        <f t="shared" si="1"/>
        <v>3.2187777541615006</v>
      </c>
    </row>
    <row r="28" spans="1:19" x14ac:dyDescent="0.2">
      <c r="A28">
        <v>27</v>
      </c>
      <c r="B28" t="s">
        <v>38</v>
      </c>
      <c r="C28">
        <v>60</v>
      </c>
      <c r="D28">
        <v>13.3</v>
      </c>
      <c r="E28">
        <v>0.626</v>
      </c>
      <c r="F28">
        <v>13.3</v>
      </c>
      <c r="G28">
        <v>17</v>
      </c>
      <c r="H28">
        <v>17.2</v>
      </c>
      <c r="I28">
        <v>11.9</v>
      </c>
      <c r="J28">
        <v>27.1</v>
      </c>
      <c r="K28">
        <v>19.600000000000001</v>
      </c>
      <c r="L28">
        <v>21.35</v>
      </c>
      <c r="M28">
        <v>128.4</v>
      </c>
      <c r="N28">
        <v>4.3</v>
      </c>
      <c r="O28" t="s">
        <v>53</v>
      </c>
      <c r="P28" s="1">
        <v>1100602</v>
      </c>
      <c r="Q28">
        <v>5.5</v>
      </c>
      <c r="R28">
        <f t="shared" si="0"/>
        <v>4.7708921159530018</v>
      </c>
      <c r="S28">
        <f t="shared" si="1"/>
        <v>0.72910788404699822</v>
      </c>
    </row>
    <row r="29" spans="1:19" x14ac:dyDescent="0.2">
      <c r="A29">
        <v>28</v>
      </c>
      <c r="B29" t="s">
        <v>39</v>
      </c>
      <c r="C29">
        <v>81</v>
      </c>
      <c r="D29">
        <v>32.700000000000003</v>
      </c>
      <c r="E29">
        <v>0.55600000000000005</v>
      </c>
      <c r="F29">
        <v>15.6</v>
      </c>
      <c r="G29">
        <v>11.2</v>
      </c>
      <c r="H29">
        <v>22.7</v>
      </c>
      <c r="I29">
        <v>8.4</v>
      </c>
      <c r="J29">
        <v>21.5</v>
      </c>
      <c r="K29">
        <v>15.1</v>
      </c>
      <c r="L29">
        <v>21.33</v>
      </c>
      <c r="M29">
        <v>388.5</v>
      </c>
      <c r="N29">
        <v>13</v>
      </c>
      <c r="O29" t="s">
        <v>55</v>
      </c>
      <c r="P29" s="1">
        <v>18671659</v>
      </c>
      <c r="Q29">
        <v>17.100000000000001</v>
      </c>
      <c r="R29">
        <f t="shared" si="0"/>
        <v>19.357156905359279</v>
      </c>
      <c r="S29">
        <f t="shared" si="1"/>
        <v>-2.2571569053592775</v>
      </c>
    </row>
    <row r="30" spans="1:19" x14ac:dyDescent="0.2">
      <c r="A30">
        <v>29</v>
      </c>
      <c r="B30" t="s">
        <v>40</v>
      </c>
      <c r="C30">
        <v>67</v>
      </c>
      <c r="D30">
        <v>36.9</v>
      </c>
      <c r="E30">
        <v>0.56200000000000006</v>
      </c>
      <c r="F30">
        <v>18.899999999999999</v>
      </c>
      <c r="G30">
        <v>7.8</v>
      </c>
      <c r="H30">
        <v>23.9</v>
      </c>
      <c r="I30">
        <v>3.4</v>
      </c>
      <c r="J30">
        <v>11.6</v>
      </c>
      <c r="K30">
        <v>7.6</v>
      </c>
      <c r="L30">
        <v>21.33</v>
      </c>
      <c r="M30">
        <v>399.9</v>
      </c>
      <c r="N30">
        <v>13.3</v>
      </c>
      <c r="O30" t="s">
        <v>55</v>
      </c>
      <c r="P30" s="1">
        <v>16407500</v>
      </c>
      <c r="Q30">
        <v>20.9</v>
      </c>
      <c r="R30">
        <f t="shared" si="0"/>
        <v>22.515008045333829</v>
      </c>
      <c r="S30">
        <f t="shared" si="1"/>
        <v>-1.6150080453338305</v>
      </c>
    </row>
    <row r="31" spans="1:19" x14ac:dyDescent="0.2">
      <c r="A31">
        <v>30</v>
      </c>
      <c r="B31" t="s">
        <v>41</v>
      </c>
      <c r="C31">
        <v>81</v>
      </c>
      <c r="D31">
        <v>32.9</v>
      </c>
      <c r="E31">
        <v>0.499</v>
      </c>
      <c r="F31">
        <v>4.4000000000000004</v>
      </c>
      <c r="G31">
        <v>10.1</v>
      </c>
      <c r="H31">
        <v>22.6</v>
      </c>
      <c r="I31">
        <v>15.6</v>
      </c>
      <c r="J31">
        <v>34.200000000000003</v>
      </c>
      <c r="K31">
        <v>24.5</v>
      </c>
      <c r="L31">
        <v>21.3</v>
      </c>
      <c r="M31">
        <v>425.8</v>
      </c>
      <c r="N31">
        <v>14.2</v>
      </c>
      <c r="O31" t="s">
        <v>53</v>
      </c>
      <c r="P31" s="1">
        <v>3272091</v>
      </c>
      <c r="Q31">
        <v>16.2</v>
      </c>
      <c r="R31">
        <f t="shared" si="0"/>
        <v>19.507530769167587</v>
      </c>
      <c r="S31">
        <f t="shared" si="1"/>
        <v>-3.3075307691675881</v>
      </c>
    </row>
    <row r="32" spans="1:19" x14ac:dyDescent="0.2">
      <c r="A32">
        <v>31</v>
      </c>
      <c r="B32" t="s">
        <v>42</v>
      </c>
      <c r="C32">
        <v>65</v>
      </c>
      <c r="D32">
        <v>31.3</v>
      </c>
      <c r="E32">
        <v>0.53100000000000003</v>
      </c>
      <c r="F32">
        <v>12.7</v>
      </c>
      <c r="G32">
        <v>8.6999999999999993</v>
      </c>
      <c r="H32">
        <v>25.4</v>
      </c>
      <c r="I32">
        <v>9.3000000000000007</v>
      </c>
      <c r="J32">
        <v>22.2</v>
      </c>
      <c r="K32">
        <v>15.7</v>
      </c>
      <c r="L32">
        <v>21.15</v>
      </c>
      <c r="M32">
        <v>320.8</v>
      </c>
      <c r="N32">
        <v>10.7</v>
      </c>
      <c r="O32" t="s">
        <v>57</v>
      </c>
      <c r="P32" s="1">
        <v>11250000</v>
      </c>
      <c r="Q32">
        <v>18.2</v>
      </c>
      <c r="R32">
        <f t="shared" si="0"/>
        <v>18.304539858701091</v>
      </c>
      <c r="S32">
        <f t="shared" si="1"/>
        <v>-0.1045398587010915</v>
      </c>
    </row>
    <row r="33" spans="1:19" x14ac:dyDescent="0.2">
      <c r="A33">
        <v>32</v>
      </c>
      <c r="B33" t="s">
        <v>43</v>
      </c>
      <c r="C33">
        <v>67</v>
      </c>
      <c r="D33">
        <v>25.3</v>
      </c>
      <c r="E33">
        <v>0.57699999999999996</v>
      </c>
      <c r="F33">
        <v>8.8000000000000007</v>
      </c>
      <c r="G33">
        <v>10.199999999999999</v>
      </c>
      <c r="H33">
        <v>19.8</v>
      </c>
      <c r="I33">
        <v>15.1</v>
      </c>
      <c r="J33">
        <v>23</v>
      </c>
      <c r="K33">
        <v>19</v>
      </c>
      <c r="L33">
        <v>21.06</v>
      </c>
      <c r="M33">
        <v>241.7</v>
      </c>
      <c r="N33">
        <v>8.1</v>
      </c>
      <c r="O33" t="s">
        <v>57</v>
      </c>
      <c r="P33" s="1">
        <v>11235955</v>
      </c>
      <c r="Q33">
        <v>12.5</v>
      </c>
      <c r="R33">
        <f t="shared" si="0"/>
        <v>13.793323944451728</v>
      </c>
      <c r="S33">
        <f t="shared" si="1"/>
        <v>-1.2933239444517284</v>
      </c>
    </row>
    <row r="34" spans="1:19" x14ac:dyDescent="0.2">
      <c r="A34">
        <v>33</v>
      </c>
      <c r="B34" t="s">
        <v>44</v>
      </c>
      <c r="C34">
        <v>81</v>
      </c>
      <c r="D34">
        <v>34.799999999999997</v>
      </c>
      <c r="E34">
        <v>0.55700000000000005</v>
      </c>
      <c r="F34">
        <v>14.5</v>
      </c>
      <c r="G34">
        <v>11.6</v>
      </c>
      <c r="H34">
        <v>28.9</v>
      </c>
      <c r="I34">
        <v>3.1</v>
      </c>
      <c r="J34">
        <v>18.7</v>
      </c>
      <c r="K34">
        <v>10.9</v>
      </c>
      <c r="L34">
        <v>20.98</v>
      </c>
      <c r="M34">
        <v>441</v>
      </c>
      <c r="N34">
        <v>14.7</v>
      </c>
      <c r="O34" t="s">
        <v>53</v>
      </c>
      <c r="P34" s="1">
        <v>17120106</v>
      </c>
      <c r="Q34">
        <v>23.1</v>
      </c>
      <c r="R34">
        <f t="shared" si="0"/>
        <v>20.936082475346549</v>
      </c>
      <c r="S34">
        <f t="shared" si="1"/>
        <v>2.1639175246534528</v>
      </c>
    </row>
    <row r="35" spans="1:19" x14ac:dyDescent="0.2">
      <c r="A35">
        <v>34</v>
      </c>
      <c r="B35" t="s">
        <v>45</v>
      </c>
      <c r="C35">
        <v>81</v>
      </c>
      <c r="D35">
        <v>35.6</v>
      </c>
      <c r="E35">
        <v>0.55400000000000005</v>
      </c>
      <c r="F35">
        <v>19.899999999999999</v>
      </c>
      <c r="G35">
        <v>8.1</v>
      </c>
      <c r="H35">
        <v>25.5</v>
      </c>
      <c r="I35">
        <v>2.1</v>
      </c>
      <c r="J35">
        <v>11.5</v>
      </c>
      <c r="K35">
        <v>6.8</v>
      </c>
      <c r="L35">
        <v>20.87</v>
      </c>
      <c r="M35">
        <v>425</v>
      </c>
      <c r="N35">
        <v>14.2</v>
      </c>
      <c r="O35" t="s">
        <v>53</v>
      </c>
      <c r="P35" s="1">
        <v>12000000</v>
      </c>
      <c r="Q35">
        <v>20.9</v>
      </c>
      <c r="R35">
        <f t="shared" si="0"/>
        <v>21.537577930579801</v>
      </c>
      <c r="S35">
        <f t="shared" si="1"/>
        <v>-0.63757793057980194</v>
      </c>
    </row>
    <row r="36" spans="1:19" x14ac:dyDescent="0.2">
      <c r="A36">
        <v>35</v>
      </c>
      <c r="B36" t="s">
        <v>46</v>
      </c>
      <c r="C36">
        <v>77</v>
      </c>
      <c r="D36">
        <v>33.700000000000003</v>
      </c>
      <c r="E36">
        <v>0.628</v>
      </c>
      <c r="F36">
        <v>9.1999999999999993</v>
      </c>
      <c r="G36">
        <v>10.9</v>
      </c>
      <c r="H36">
        <v>14.1</v>
      </c>
      <c r="I36">
        <v>11.4</v>
      </c>
      <c r="J36">
        <v>32.700000000000003</v>
      </c>
      <c r="K36">
        <v>22.2</v>
      </c>
      <c r="L36">
        <v>20.66</v>
      </c>
      <c r="M36">
        <v>390.2</v>
      </c>
      <c r="N36">
        <v>13</v>
      </c>
      <c r="O36" t="s">
        <v>55</v>
      </c>
      <c r="P36" s="1">
        <v>19690000</v>
      </c>
      <c r="Q36">
        <v>12.7</v>
      </c>
      <c r="R36">
        <f t="shared" si="0"/>
        <v>20.109026224400839</v>
      </c>
      <c r="S36">
        <f t="shared" si="1"/>
        <v>-7.40902622440084</v>
      </c>
    </row>
    <row r="37" spans="1:19" x14ac:dyDescent="0.2">
      <c r="A37">
        <v>36</v>
      </c>
      <c r="B37" t="s">
        <v>47</v>
      </c>
      <c r="C37">
        <v>74</v>
      </c>
      <c r="D37">
        <v>30.5</v>
      </c>
      <c r="E37">
        <v>0.51700000000000002</v>
      </c>
      <c r="F37">
        <v>18</v>
      </c>
      <c r="G37">
        <v>10.6</v>
      </c>
      <c r="H37">
        <v>30.5</v>
      </c>
      <c r="I37">
        <v>4.3</v>
      </c>
      <c r="J37">
        <v>10.7</v>
      </c>
      <c r="K37">
        <v>7.6</v>
      </c>
      <c r="L37">
        <v>20.420000000000002</v>
      </c>
      <c r="M37">
        <v>334.3</v>
      </c>
      <c r="N37">
        <v>11.1</v>
      </c>
      <c r="O37" t="s">
        <v>53</v>
      </c>
      <c r="P37" s="1">
        <v>20000000</v>
      </c>
      <c r="Q37">
        <v>19</v>
      </c>
      <c r="R37">
        <f t="shared" si="0"/>
        <v>17.703044403467842</v>
      </c>
      <c r="S37">
        <f t="shared" si="1"/>
        <v>1.2969555965321575</v>
      </c>
    </row>
    <row r="38" spans="1:19" x14ac:dyDescent="0.2">
      <c r="A38">
        <v>37</v>
      </c>
      <c r="B38" t="s">
        <v>48</v>
      </c>
      <c r="C38">
        <v>72</v>
      </c>
      <c r="D38">
        <v>35.1</v>
      </c>
      <c r="E38">
        <v>0.53</v>
      </c>
      <c r="F38">
        <v>15.3</v>
      </c>
      <c r="G38">
        <v>9</v>
      </c>
      <c r="H38">
        <v>28.5</v>
      </c>
      <c r="I38">
        <v>4.3</v>
      </c>
      <c r="J38">
        <v>19.5</v>
      </c>
      <c r="K38">
        <v>12</v>
      </c>
      <c r="L38">
        <v>20.38</v>
      </c>
      <c r="M38">
        <v>372.9</v>
      </c>
      <c r="N38">
        <v>12.4</v>
      </c>
      <c r="O38" t="s">
        <v>53</v>
      </c>
      <c r="P38">
        <v>22875000</v>
      </c>
      <c r="Q38">
        <v>21.8</v>
      </c>
      <c r="R38">
        <f t="shared" si="0"/>
        <v>21.16164327105902</v>
      </c>
      <c r="S38">
        <f t="shared" si="1"/>
        <v>0.63835672894098039</v>
      </c>
    </row>
    <row r="39" spans="1:19" x14ac:dyDescent="0.2">
      <c r="A39">
        <v>38</v>
      </c>
      <c r="B39" t="s">
        <v>49</v>
      </c>
      <c r="C39">
        <v>53</v>
      </c>
      <c r="D39">
        <v>33.5</v>
      </c>
      <c r="E39">
        <v>0.57099999999999995</v>
      </c>
      <c r="F39">
        <v>11.7</v>
      </c>
      <c r="G39">
        <v>7.2</v>
      </c>
      <c r="H39">
        <v>23.2</v>
      </c>
      <c r="I39">
        <v>3.2</v>
      </c>
      <c r="J39">
        <v>21.1</v>
      </c>
      <c r="K39">
        <v>12.4</v>
      </c>
      <c r="L39">
        <v>20.29</v>
      </c>
      <c r="M39">
        <v>233.2</v>
      </c>
      <c r="N39">
        <v>7.8</v>
      </c>
      <c r="O39" t="s">
        <v>53</v>
      </c>
      <c r="P39">
        <v>22192730</v>
      </c>
      <c r="Q39">
        <v>19.100000000000001</v>
      </c>
      <c r="R39">
        <f t="shared" si="0"/>
        <v>19.958652360592524</v>
      </c>
      <c r="S39">
        <f t="shared" si="1"/>
        <v>-0.85865236059252226</v>
      </c>
    </row>
    <row r="40" spans="1:19" x14ac:dyDescent="0.2">
      <c r="A40">
        <v>39</v>
      </c>
      <c r="B40" t="s">
        <v>50</v>
      </c>
      <c r="C40">
        <v>31</v>
      </c>
      <c r="D40">
        <v>34.200000000000003</v>
      </c>
      <c r="E40">
        <v>0.55700000000000005</v>
      </c>
      <c r="F40">
        <v>21.9</v>
      </c>
      <c r="G40">
        <v>12.7</v>
      </c>
      <c r="H40">
        <v>27.2</v>
      </c>
      <c r="I40">
        <v>1.8</v>
      </c>
      <c r="J40">
        <v>11.2</v>
      </c>
      <c r="K40">
        <v>6.4</v>
      </c>
      <c r="L40">
        <v>20.100000000000001</v>
      </c>
      <c r="M40">
        <v>143.9</v>
      </c>
      <c r="N40">
        <v>4.8</v>
      </c>
      <c r="O40" t="s">
        <v>57</v>
      </c>
      <c r="P40" s="1">
        <v>13500000</v>
      </c>
      <c r="Q40">
        <v>20.399999999999999</v>
      </c>
      <c r="R40">
        <f t="shared" si="0"/>
        <v>20.48496088392162</v>
      </c>
      <c r="S40">
        <f t="shared" si="1"/>
        <v>-8.4960883921620933E-2</v>
      </c>
    </row>
    <row r="41" spans="1:19" x14ac:dyDescent="0.2">
      <c r="A41">
        <v>40</v>
      </c>
      <c r="B41" t="s">
        <v>51</v>
      </c>
      <c r="C41">
        <v>53</v>
      </c>
      <c r="D41">
        <v>31.5</v>
      </c>
      <c r="E41">
        <v>0.54</v>
      </c>
      <c r="F41">
        <v>18.7</v>
      </c>
      <c r="G41">
        <v>9.3000000000000007</v>
      </c>
      <c r="H41">
        <v>28.8</v>
      </c>
      <c r="I41">
        <v>3</v>
      </c>
      <c r="J41">
        <v>7.6</v>
      </c>
      <c r="K41">
        <v>5.3</v>
      </c>
      <c r="L41">
        <v>19.96</v>
      </c>
      <c r="M41">
        <v>222.8</v>
      </c>
      <c r="N41">
        <v>7.4</v>
      </c>
      <c r="O41" t="s">
        <v>53</v>
      </c>
      <c r="P41" s="1">
        <v>16407501</v>
      </c>
      <c r="Q41">
        <v>19.600000000000001</v>
      </c>
      <c r="R41">
        <f t="shared" si="0"/>
        <v>18.454913722509403</v>
      </c>
      <c r="S41">
        <f t="shared" si="1"/>
        <v>1.1450862774905985</v>
      </c>
    </row>
    <row r="42" spans="1:19" x14ac:dyDescent="0.2">
      <c r="A42">
        <v>41</v>
      </c>
      <c r="B42" t="s">
        <v>60</v>
      </c>
      <c r="C42">
        <v>77</v>
      </c>
      <c r="D42">
        <v>36.200000000000003</v>
      </c>
      <c r="E42">
        <v>0.51</v>
      </c>
      <c r="F42">
        <v>30.3</v>
      </c>
      <c r="G42">
        <v>12.2</v>
      </c>
      <c r="H42">
        <v>29.1</v>
      </c>
      <c r="I42">
        <v>1.7</v>
      </c>
      <c r="J42">
        <v>13.8</v>
      </c>
      <c r="K42">
        <v>7.6</v>
      </c>
      <c r="L42">
        <v>19.829999999999998</v>
      </c>
      <c r="M42">
        <v>367</v>
      </c>
      <c r="N42">
        <v>12.2</v>
      </c>
      <c r="O42" t="s">
        <v>53</v>
      </c>
      <c r="P42" s="1">
        <v>15851950</v>
      </c>
      <c r="Q42">
        <v>19.899999999999999</v>
      </c>
      <c r="R42">
        <f t="shared" si="0"/>
        <v>21.98869952200474</v>
      </c>
      <c r="S42">
        <f t="shared" si="1"/>
        <v>-2.0886995220047417</v>
      </c>
    </row>
    <row r="43" spans="1:19" x14ac:dyDescent="0.2">
      <c r="A43">
        <v>42</v>
      </c>
      <c r="B43" t="s">
        <v>61</v>
      </c>
      <c r="C43">
        <v>65</v>
      </c>
      <c r="D43">
        <v>28.2</v>
      </c>
      <c r="E43">
        <v>0.52900000000000003</v>
      </c>
      <c r="F43">
        <v>24.6</v>
      </c>
      <c r="G43">
        <v>10.5</v>
      </c>
      <c r="H43">
        <v>28.8</v>
      </c>
      <c r="I43">
        <v>1.6</v>
      </c>
      <c r="J43">
        <v>10.5</v>
      </c>
      <c r="K43">
        <v>5.9</v>
      </c>
      <c r="L43">
        <v>19.739999999999998</v>
      </c>
      <c r="M43">
        <v>238.7</v>
      </c>
      <c r="N43">
        <v>8</v>
      </c>
      <c r="O43" t="s">
        <v>57</v>
      </c>
      <c r="P43" s="1">
        <v>9213000</v>
      </c>
      <c r="Q43">
        <v>16.8</v>
      </c>
      <c r="R43">
        <f t="shared" si="0"/>
        <v>15.973744969672254</v>
      </c>
      <c r="S43">
        <f t="shared" si="1"/>
        <v>0.82625503032774716</v>
      </c>
    </row>
    <row r="44" spans="1:19" x14ac:dyDescent="0.2">
      <c r="A44">
        <v>43</v>
      </c>
      <c r="B44" t="s">
        <v>62</v>
      </c>
      <c r="C44">
        <v>55</v>
      </c>
      <c r="D44">
        <v>16.399999999999999</v>
      </c>
      <c r="E44">
        <v>0.56799999999999995</v>
      </c>
      <c r="F44">
        <v>16</v>
      </c>
      <c r="G44">
        <v>12.5</v>
      </c>
      <c r="H44">
        <v>22.3</v>
      </c>
      <c r="I44">
        <v>12</v>
      </c>
      <c r="J44">
        <v>24.6</v>
      </c>
      <c r="K44">
        <v>18.2</v>
      </c>
      <c r="L44">
        <v>19.64</v>
      </c>
      <c r="M44">
        <v>109.7</v>
      </c>
      <c r="N44">
        <v>3.7</v>
      </c>
      <c r="O44" t="s">
        <v>57</v>
      </c>
      <c r="P44" s="1">
        <v>2102000</v>
      </c>
      <c r="Q44">
        <v>8.5</v>
      </c>
      <c r="R44">
        <f t="shared" si="0"/>
        <v>7.1016870049818372</v>
      </c>
      <c r="S44">
        <f t="shared" si="1"/>
        <v>1.3983129950181628</v>
      </c>
    </row>
    <row r="45" spans="1:19" x14ac:dyDescent="0.2">
      <c r="A45">
        <v>44</v>
      </c>
      <c r="B45" t="s">
        <v>63</v>
      </c>
      <c r="C45">
        <v>79</v>
      </c>
      <c r="D45">
        <v>30.7</v>
      </c>
      <c r="E45">
        <v>0.53500000000000003</v>
      </c>
      <c r="F45">
        <v>23.3</v>
      </c>
      <c r="G45">
        <v>10.6</v>
      </c>
      <c r="H45">
        <v>29.6</v>
      </c>
      <c r="I45">
        <v>2.5</v>
      </c>
      <c r="J45">
        <v>9.1</v>
      </c>
      <c r="K45">
        <v>5.7</v>
      </c>
      <c r="L45">
        <v>19.62</v>
      </c>
      <c r="M45">
        <v>312</v>
      </c>
      <c r="N45">
        <v>10.4</v>
      </c>
      <c r="O45" t="s">
        <v>57</v>
      </c>
      <c r="P45" s="1">
        <v>16410000</v>
      </c>
      <c r="Q45">
        <v>18.8</v>
      </c>
      <c r="R45">
        <f t="shared" si="0"/>
        <v>17.853418267276155</v>
      </c>
      <c r="S45">
        <f t="shared" si="1"/>
        <v>0.94658173272384616</v>
      </c>
    </row>
    <row r="46" spans="1:19" x14ac:dyDescent="0.2">
      <c r="A46">
        <v>45</v>
      </c>
      <c r="B46" t="s">
        <v>64</v>
      </c>
      <c r="C46">
        <v>82</v>
      </c>
      <c r="D46">
        <v>32.1</v>
      </c>
      <c r="E46">
        <v>0.56499999999999995</v>
      </c>
      <c r="F46">
        <v>17.8</v>
      </c>
      <c r="G46">
        <v>7.3</v>
      </c>
      <c r="H46">
        <v>19.5</v>
      </c>
      <c r="I46">
        <v>6.3</v>
      </c>
      <c r="J46">
        <v>18.2</v>
      </c>
      <c r="K46">
        <v>12.4</v>
      </c>
      <c r="L46">
        <v>19.46</v>
      </c>
      <c r="M46">
        <v>347.8</v>
      </c>
      <c r="N46">
        <v>11.6</v>
      </c>
      <c r="O46" t="s">
        <v>53</v>
      </c>
      <c r="P46" s="1">
        <v>12000000</v>
      </c>
      <c r="Q46">
        <v>15.2</v>
      </c>
      <c r="R46">
        <f t="shared" si="0"/>
        <v>18.906035313934339</v>
      </c>
      <c r="S46">
        <f t="shared" si="1"/>
        <v>-3.7060353139343398</v>
      </c>
    </row>
    <row r="47" spans="1:19" x14ac:dyDescent="0.2">
      <c r="A47">
        <v>46</v>
      </c>
      <c r="B47" t="s">
        <v>65</v>
      </c>
      <c r="C47">
        <v>56</v>
      </c>
      <c r="D47">
        <v>31.4</v>
      </c>
      <c r="E47">
        <v>0.53800000000000003</v>
      </c>
      <c r="F47">
        <v>28</v>
      </c>
      <c r="G47">
        <v>6.9</v>
      </c>
      <c r="H47">
        <v>23.2</v>
      </c>
      <c r="I47">
        <v>1.6</v>
      </c>
      <c r="J47">
        <v>9.3000000000000007</v>
      </c>
      <c r="K47">
        <v>5.3</v>
      </c>
      <c r="L47">
        <v>19.45</v>
      </c>
      <c r="M47">
        <v>222</v>
      </c>
      <c r="N47">
        <v>7.4</v>
      </c>
      <c r="O47" t="s">
        <v>53</v>
      </c>
      <c r="P47" s="1">
        <v>7306000</v>
      </c>
      <c r="Q47">
        <v>15.3</v>
      </c>
      <c r="R47">
        <f t="shared" si="0"/>
        <v>18.379726790605247</v>
      </c>
      <c r="S47">
        <f t="shared" si="1"/>
        <v>-3.0797267906052461</v>
      </c>
    </row>
    <row r="48" spans="1:19" x14ac:dyDescent="0.2">
      <c r="A48">
        <v>47</v>
      </c>
      <c r="B48" t="s">
        <v>66</v>
      </c>
      <c r="C48">
        <v>81</v>
      </c>
      <c r="D48">
        <v>34.700000000000003</v>
      </c>
      <c r="E48">
        <v>0.58699999999999997</v>
      </c>
      <c r="F48">
        <v>32.799999999999997</v>
      </c>
      <c r="G48">
        <v>14.2</v>
      </c>
      <c r="H48">
        <v>19.5</v>
      </c>
      <c r="I48">
        <v>5.5</v>
      </c>
      <c r="J48">
        <v>23</v>
      </c>
      <c r="K48">
        <v>14.7</v>
      </c>
      <c r="L48">
        <v>19.309999999999999</v>
      </c>
      <c r="M48">
        <v>327.39999999999998</v>
      </c>
      <c r="N48">
        <v>10.9</v>
      </c>
      <c r="O48" t="s">
        <v>55</v>
      </c>
      <c r="P48" s="1">
        <v>15300000</v>
      </c>
      <c r="Q48">
        <v>14</v>
      </c>
      <c r="R48">
        <f t="shared" si="0"/>
        <v>20.8608955434424</v>
      </c>
      <c r="S48">
        <f t="shared" si="1"/>
        <v>-6.8608955434423997</v>
      </c>
    </row>
    <row r="49" spans="1:19" x14ac:dyDescent="0.2">
      <c r="A49">
        <v>48</v>
      </c>
      <c r="B49" t="s">
        <v>67</v>
      </c>
      <c r="C49">
        <v>75</v>
      </c>
      <c r="D49">
        <v>31.5</v>
      </c>
      <c r="E49">
        <v>0.55500000000000005</v>
      </c>
      <c r="F49">
        <v>9.1</v>
      </c>
      <c r="G49">
        <v>5.8</v>
      </c>
      <c r="H49">
        <v>23.5</v>
      </c>
      <c r="I49">
        <v>2.4</v>
      </c>
      <c r="J49">
        <v>20.3</v>
      </c>
      <c r="K49">
        <v>11.4</v>
      </c>
      <c r="L49">
        <v>19.09</v>
      </c>
      <c r="M49">
        <v>267.89999999999998</v>
      </c>
      <c r="N49">
        <v>8.9</v>
      </c>
      <c r="O49" t="s">
        <v>53</v>
      </c>
      <c r="P49" s="1">
        <v>7974000</v>
      </c>
      <c r="Q49">
        <v>20.399999999999999</v>
      </c>
      <c r="R49">
        <f t="shared" si="0"/>
        <v>18.454913722509403</v>
      </c>
      <c r="S49">
        <f t="shared" si="1"/>
        <v>1.9450862774905957</v>
      </c>
    </row>
    <row r="50" spans="1:19" x14ac:dyDescent="0.2">
      <c r="A50">
        <v>49</v>
      </c>
      <c r="B50" t="s">
        <v>68</v>
      </c>
      <c r="C50">
        <v>77</v>
      </c>
      <c r="D50">
        <v>31.5</v>
      </c>
      <c r="E50">
        <v>0.55300000000000005</v>
      </c>
      <c r="F50">
        <v>12.8</v>
      </c>
      <c r="G50">
        <v>9.8000000000000007</v>
      </c>
      <c r="H50">
        <v>22.4</v>
      </c>
      <c r="I50">
        <v>7</v>
      </c>
      <c r="J50">
        <v>28.4</v>
      </c>
      <c r="K50">
        <v>17.8</v>
      </c>
      <c r="L50">
        <v>19.079999999999998</v>
      </c>
      <c r="M50">
        <v>274.39999999999998</v>
      </c>
      <c r="N50">
        <v>9.1</v>
      </c>
      <c r="O50" t="s">
        <v>53</v>
      </c>
      <c r="P50" s="1">
        <v>21170000</v>
      </c>
      <c r="Q50">
        <v>16</v>
      </c>
      <c r="R50">
        <f t="shared" si="0"/>
        <v>18.454913722509403</v>
      </c>
      <c r="S50">
        <f t="shared" si="1"/>
        <v>-2.4549137225094029</v>
      </c>
    </row>
    <row r="51" spans="1:19" x14ac:dyDescent="0.2">
      <c r="A51">
        <v>50</v>
      </c>
      <c r="B51" t="s">
        <v>69</v>
      </c>
      <c r="C51">
        <v>75</v>
      </c>
      <c r="D51">
        <v>30.1</v>
      </c>
      <c r="E51">
        <v>0.59199999999999997</v>
      </c>
      <c r="F51">
        <v>9.8000000000000007</v>
      </c>
      <c r="G51">
        <v>11.2</v>
      </c>
      <c r="H51">
        <v>17.5</v>
      </c>
      <c r="I51">
        <v>10.8</v>
      </c>
      <c r="J51">
        <v>26.3</v>
      </c>
      <c r="K51">
        <v>18.399999999999999</v>
      </c>
      <c r="L51">
        <v>19.04</v>
      </c>
      <c r="M51">
        <v>284.3</v>
      </c>
      <c r="N51">
        <v>9.5</v>
      </c>
      <c r="O51" t="s">
        <v>55</v>
      </c>
      <c r="P51" s="1">
        <v>7727000</v>
      </c>
      <c r="Q51">
        <v>16</v>
      </c>
      <c r="R51">
        <f t="shared" si="0"/>
        <v>17.402296675851218</v>
      </c>
      <c r="S51">
        <f t="shared" si="1"/>
        <v>-1.4022966758512183</v>
      </c>
    </row>
    <row r="52" spans="1:19" x14ac:dyDescent="0.2">
      <c r="A52">
        <v>51</v>
      </c>
      <c r="B52" t="s">
        <v>70</v>
      </c>
      <c r="C52">
        <v>53</v>
      </c>
      <c r="D52">
        <v>34.700000000000003</v>
      </c>
      <c r="E52">
        <v>0.58199999999999996</v>
      </c>
      <c r="F52">
        <v>12.3</v>
      </c>
      <c r="G52">
        <v>7</v>
      </c>
      <c r="H52">
        <v>22</v>
      </c>
      <c r="I52">
        <v>3.1</v>
      </c>
      <c r="J52">
        <v>14</v>
      </c>
      <c r="K52">
        <v>8.5</v>
      </c>
      <c r="L52">
        <v>19.04</v>
      </c>
      <c r="M52">
        <v>234.3</v>
      </c>
      <c r="N52">
        <v>7.8</v>
      </c>
      <c r="O52" t="s">
        <v>53</v>
      </c>
      <c r="P52" s="1">
        <v>4190000</v>
      </c>
      <c r="Q52">
        <v>19.5</v>
      </c>
      <c r="R52">
        <f t="shared" si="0"/>
        <v>20.8608955434424</v>
      </c>
      <c r="S52">
        <f t="shared" si="1"/>
        <v>-1.3608955434423997</v>
      </c>
    </row>
    <row r="53" spans="1:19" x14ac:dyDescent="0.2">
      <c r="A53">
        <v>52</v>
      </c>
      <c r="B53" t="s">
        <v>71</v>
      </c>
      <c r="C53">
        <v>71</v>
      </c>
      <c r="D53">
        <v>32.1</v>
      </c>
      <c r="E53">
        <v>0.60399999999999998</v>
      </c>
      <c r="F53">
        <v>9.1</v>
      </c>
      <c r="G53">
        <v>15.5</v>
      </c>
      <c r="H53">
        <v>17.3</v>
      </c>
      <c r="I53">
        <v>11.4</v>
      </c>
      <c r="J53">
        <v>29.1</v>
      </c>
      <c r="K53">
        <v>20.2</v>
      </c>
      <c r="L53">
        <v>18.989999999999998</v>
      </c>
      <c r="M53">
        <v>285.60000000000002</v>
      </c>
      <c r="N53">
        <v>9.5</v>
      </c>
      <c r="O53" t="s">
        <v>53</v>
      </c>
      <c r="P53" s="1">
        <v>22360000</v>
      </c>
      <c r="Q53">
        <v>13.7</v>
      </c>
      <c r="R53">
        <f t="shared" si="0"/>
        <v>18.906035313934339</v>
      </c>
      <c r="S53">
        <f t="shared" si="1"/>
        <v>-5.2060353139343398</v>
      </c>
    </row>
    <row r="54" spans="1:19" x14ac:dyDescent="0.2">
      <c r="A54">
        <v>53</v>
      </c>
      <c r="B54" t="s">
        <v>72</v>
      </c>
      <c r="C54">
        <v>80</v>
      </c>
      <c r="D54">
        <v>35.299999999999997</v>
      </c>
      <c r="E54">
        <v>0.56599999999999995</v>
      </c>
      <c r="F54">
        <v>19.8</v>
      </c>
      <c r="G54">
        <v>11.9</v>
      </c>
      <c r="H54">
        <v>21.8</v>
      </c>
      <c r="I54">
        <v>4.5999999999999996</v>
      </c>
      <c r="J54">
        <v>20</v>
      </c>
      <c r="K54">
        <v>12.4</v>
      </c>
      <c r="L54">
        <v>18.86</v>
      </c>
      <c r="M54">
        <v>352.1</v>
      </c>
      <c r="N54">
        <v>11.7</v>
      </c>
      <c r="O54" t="s">
        <v>57</v>
      </c>
      <c r="P54" s="1">
        <v>2995000</v>
      </c>
      <c r="Q54">
        <v>16.899999999999999</v>
      </c>
      <c r="R54">
        <f t="shared" si="0"/>
        <v>21.312017134867332</v>
      </c>
      <c r="S54">
        <f t="shared" si="1"/>
        <v>-4.4120171348673338</v>
      </c>
    </row>
    <row r="55" spans="1:19" x14ac:dyDescent="0.2">
      <c r="A55">
        <v>54</v>
      </c>
      <c r="B55" t="s">
        <v>73</v>
      </c>
      <c r="C55">
        <v>81</v>
      </c>
      <c r="D55">
        <v>20.8</v>
      </c>
      <c r="E55">
        <v>0.61599999999999999</v>
      </c>
      <c r="F55">
        <v>15.2</v>
      </c>
      <c r="G55">
        <v>11.1</v>
      </c>
      <c r="H55">
        <v>12.3</v>
      </c>
      <c r="I55">
        <v>14.4</v>
      </c>
      <c r="J55">
        <v>24.2</v>
      </c>
      <c r="K55">
        <v>19.3</v>
      </c>
      <c r="L55">
        <v>18.760000000000002</v>
      </c>
      <c r="M55">
        <v>205</v>
      </c>
      <c r="N55">
        <v>6.8</v>
      </c>
      <c r="O55" t="s">
        <v>53</v>
      </c>
      <c r="P55" s="1">
        <v>6980000</v>
      </c>
      <c r="Q55">
        <v>6.5</v>
      </c>
      <c r="R55">
        <f t="shared" si="0"/>
        <v>10.409912008764707</v>
      </c>
      <c r="S55">
        <f t="shared" si="1"/>
        <v>-3.9099120087647066</v>
      </c>
    </row>
    <row r="56" spans="1:19" x14ac:dyDescent="0.2">
      <c r="A56">
        <v>55</v>
      </c>
      <c r="B56" t="s">
        <v>74</v>
      </c>
      <c r="C56">
        <v>80</v>
      </c>
      <c r="D56">
        <v>33.299999999999997</v>
      </c>
      <c r="E56">
        <v>0.59699999999999998</v>
      </c>
      <c r="F56">
        <v>9.3000000000000007</v>
      </c>
      <c r="G56">
        <v>7.7</v>
      </c>
      <c r="H56">
        <v>24.3</v>
      </c>
      <c r="I56">
        <v>1.5</v>
      </c>
      <c r="J56">
        <v>10.3</v>
      </c>
      <c r="K56">
        <v>6.2</v>
      </c>
      <c r="L56">
        <v>18.670000000000002</v>
      </c>
      <c r="M56">
        <v>325</v>
      </c>
      <c r="N56">
        <v>10.8</v>
      </c>
      <c r="O56" t="s">
        <v>53</v>
      </c>
      <c r="P56" s="1">
        <v>15500000</v>
      </c>
      <c r="Q56">
        <v>22.1</v>
      </c>
      <c r="R56">
        <f t="shared" si="0"/>
        <v>19.808278496784208</v>
      </c>
      <c r="S56">
        <f t="shared" si="1"/>
        <v>2.2917215032157934</v>
      </c>
    </row>
    <row r="57" spans="1:19" x14ac:dyDescent="0.2">
      <c r="A57">
        <v>56</v>
      </c>
      <c r="B57" t="s">
        <v>75</v>
      </c>
      <c r="C57">
        <v>57</v>
      </c>
      <c r="D57">
        <v>16.8</v>
      </c>
      <c r="E57">
        <v>0.57999999999999996</v>
      </c>
      <c r="F57">
        <v>11.7</v>
      </c>
      <c r="G57">
        <v>13.9</v>
      </c>
      <c r="H57">
        <v>18</v>
      </c>
      <c r="I57">
        <v>10.4</v>
      </c>
      <c r="J57">
        <v>15.8</v>
      </c>
      <c r="K57">
        <v>13.2</v>
      </c>
      <c r="L57">
        <v>18.63</v>
      </c>
      <c r="M57">
        <v>102.2</v>
      </c>
      <c r="N57">
        <v>3.4</v>
      </c>
      <c r="O57" t="s">
        <v>53</v>
      </c>
      <c r="P57" s="1">
        <v>2943000</v>
      </c>
      <c r="Q57">
        <v>7</v>
      </c>
      <c r="R57">
        <f t="shared" si="0"/>
        <v>7.4024347325984632</v>
      </c>
      <c r="S57">
        <f t="shared" si="1"/>
        <v>-0.40243473259846319</v>
      </c>
    </row>
    <row r="58" spans="1:19" x14ac:dyDescent="0.2">
      <c r="A58">
        <v>57</v>
      </c>
      <c r="B58" t="s">
        <v>76</v>
      </c>
      <c r="C58">
        <v>68</v>
      </c>
      <c r="D58">
        <v>29.6</v>
      </c>
      <c r="E58">
        <v>0.51900000000000002</v>
      </c>
      <c r="F58">
        <v>11.4</v>
      </c>
      <c r="G58">
        <v>8.4</v>
      </c>
      <c r="H58">
        <v>23.5</v>
      </c>
      <c r="I58">
        <v>9.6999999999999993</v>
      </c>
      <c r="J58">
        <v>20.7</v>
      </c>
      <c r="K58">
        <v>15</v>
      </c>
      <c r="L58">
        <v>18.39</v>
      </c>
      <c r="M58">
        <v>207.3</v>
      </c>
      <c r="N58">
        <v>6.9</v>
      </c>
      <c r="O58" t="s">
        <v>57</v>
      </c>
      <c r="P58" t="s">
        <v>80</v>
      </c>
      <c r="Q58">
        <v>15.3</v>
      </c>
      <c r="R58">
        <f t="shared" si="0"/>
        <v>17.026362016330438</v>
      </c>
      <c r="S58">
        <f t="shared" si="1"/>
        <v>-1.7263620163304374</v>
      </c>
    </row>
    <row r="59" spans="1:19" x14ac:dyDescent="0.2">
      <c r="A59">
        <v>58</v>
      </c>
      <c r="B59" t="s">
        <v>77</v>
      </c>
      <c r="C59">
        <v>80</v>
      </c>
      <c r="D59">
        <v>36.200000000000003</v>
      </c>
      <c r="E59">
        <v>0.55900000000000005</v>
      </c>
      <c r="F59">
        <v>15.5</v>
      </c>
      <c r="G59">
        <v>10.6</v>
      </c>
      <c r="H59">
        <v>24.9</v>
      </c>
      <c r="I59">
        <v>2.5</v>
      </c>
      <c r="J59">
        <v>13.5</v>
      </c>
      <c r="K59">
        <v>8</v>
      </c>
      <c r="L59">
        <v>18.37</v>
      </c>
      <c r="M59">
        <v>339.6</v>
      </c>
      <c r="N59">
        <v>11.3</v>
      </c>
      <c r="O59" t="s">
        <v>53</v>
      </c>
      <c r="P59" s="1">
        <v>15410100</v>
      </c>
      <c r="Q59">
        <v>19.7</v>
      </c>
      <c r="R59">
        <f t="shared" si="0"/>
        <v>21.98869952200474</v>
      </c>
      <c r="S59">
        <f t="shared" si="1"/>
        <v>-2.288699522004741</v>
      </c>
    </row>
    <row r="60" spans="1:19" x14ac:dyDescent="0.2">
      <c r="A60">
        <v>59</v>
      </c>
      <c r="B60" t="s">
        <v>78</v>
      </c>
      <c r="C60">
        <v>77</v>
      </c>
      <c r="D60">
        <v>19.100000000000001</v>
      </c>
      <c r="E60">
        <v>0.55300000000000005</v>
      </c>
      <c r="F60">
        <v>7.9</v>
      </c>
      <c r="G60">
        <v>10.1</v>
      </c>
      <c r="H60">
        <v>15.1</v>
      </c>
      <c r="I60">
        <v>14.4</v>
      </c>
      <c r="J60">
        <v>22.7</v>
      </c>
      <c r="K60">
        <v>18.5</v>
      </c>
      <c r="L60">
        <v>18.3</v>
      </c>
      <c r="M60">
        <v>149.30000000000001</v>
      </c>
      <c r="N60">
        <v>5</v>
      </c>
      <c r="O60" t="s">
        <v>57</v>
      </c>
      <c r="P60" s="1">
        <v>1189000</v>
      </c>
      <c r="Q60">
        <v>7</v>
      </c>
      <c r="R60">
        <f t="shared" si="0"/>
        <v>9.1317341663940539</v>
      </c>
      <c r="S60">
        <f t="shared" si="1"/>
        <v>-2.1317341663940539</v>
      </c>
    </row>
    <row r="61" spans="1:19" x14ac:dyDescent="0.2">
      <c r="A61">
        <v>60</v>
      </c>
      <c r="B61" t="s">
        <v>79</v>
      </c>
      <c r="C61">
        <v>47</v>
      </c>
      <c r="D61">
        <v>23.3</v>
      </c>
      <c r="E61">
        <v>0.50700000000000001</v>
      </c>
      <c r="F61">
        <v>10.6</v>
      </c>
      <c r="G61">
        <v>5.2</v>
      </c>
      <c r="H61">
        <v>22.4</v>
      </c>
      <c r="I61">
        <v>5.6</v>
      </c>
      <c r="J61">
        <v>24.6</v>
      </c>
      <c r="K61">
        <v>15</v>
      </c>
      <c r="L61">
        <v>18.260000000000002</v>
      </c>
      <c r="M61">
        <v>125.3</v>
      </c>
      <c r="N61">
        <v>4.2</v>
      </c>
      <c r="O61" t="s">
        <v>57</v>
      </c>
      <c r="P61" s="1">
        <v>13500000</v>
      </c>
      <c r="Q61">
        <v>12</v>
      </c>
      <c r="R61">
        <f t="shared" si="0"/>
        <v>12.289585306368608</v>
      </c>
      <c r="S61">
        <f t="shared" si="1"/>
        <v>-0.28958530636860758</v>
      </c>
    </row>
    <row r="64" spans="1:19" x14ac:dyDescent="0.2">
      <c r="B64" t="s">
        <v>58</v>
      </c>
      <c r="C64" t="s">
        <v>11</v>
      </c>
      <c r="D64" t="s">
        <v>58</v>
      </c>
    </row>
    <row r="65" spans="2:4" x14ac:dyDescent="0.2">
      <c r="B65">
        <v>30.1</v>
      </c>
      <c r="C65">
        <v>34.200000000000003</v>
      </c>
      <c r="D65">
        <v>30.1</v>
      </c>
    </row>
    <row r="66" spans="2:4" x14ac:dyDescent="0.2">
      <c r="B66">
        <v>28.2</v>
      </c>
      <c r="C66">
        <v>35.799999999999997</v>
      </c>
      <c r="D66">
        <v>28.2</v>
      </c>
    </row>
    <row r="67" spans="2:4" x14ac:dyDescent="0.2">
      <c r="B67">
        <v>5.5</v>
      </c>
      <c r="C67">
        <v>9.4</v>
      </c>
      <c r="D67">
        <v>5.5</v>
      </c>
    </row>
    <row r="68" spans="2:4" x14ac:dyDescent="0.2">
      <c r="B68">
        <v>23.5</v>
      </c>
      <c r="C68">
        <v>34.4</v>
      </c>
      <c r="D68">
        <v>23.5</v>
      </c>
    </row>
    <row r="69" spans="2:4" x14ac:dyDescent="0.2">
      <c r="B69">
        <v>25.3</v>
      </c>
      <c r="C69">
        <v>35.6</v>
      </c>
      <c r="D69">
        <v>25.3</v>
      </c>
    </row>
    <row r="70" spans="2:4" x14ac:dyDescent="0.2">
      <c r="B70">
        <v>19.5</v>
      </c>
      <c r="C70">
        <v>32.700000000000003</v>
      </c>
      <c r="D70">
        <v>19.5</v>
      </c>
    </row>
    <row r="71" spans="2:4" x14ac:dyDescent="0.2">
      <c r="B71">
        <v>21.2</v>
      </c>
      <c r="C71">
        <v>33.1</v>
      </c>
      <c r="D71">
        <v>21.2</v>
      </c>
    </row>
    <row r="72" spans="2:4" x14ac:dyDescent="0.2">
      <c r="B72">
        <v>14.2</v>
      </c>
      <c r="C72">
        <v>29.1</v>
      </c>
      <c r="D72">
        <v>14.2</v>
      </c>
    </row>
    <row r="73" spans="2:4" x14ac:dyDescent="0.2">
      <c r="B73">
        <v>29</v>
      </c>
      <c r="C73">
        <v>38.1</v>
      </c>
      <c r="D73">
        <v>29</v>
      </c>
    </row>
    <row r="74" spans="2:4" x14ac:dyDescent="0.2">
      <c r="B74">
        <v>24.3</v>
      </c>
      <c r="C74">
        <v>35.5</v>
      </c>
      <c r="D74">
        <v>24.3</v>
      </c>
    </row>
    <row r="75" spans="2:4" x14ac:dyDescent="0.2">
      <c r="B75">
        <v>12.7</v>
      </c>
      <c r="C75">
        <v>21</v>
      </c>
      <c r="D75">
        <v>12.7</v>
      </c>
    </row>
    <row r="76" spans="2:4" x14ac:dyDescent="0.2">
      <c r="B76">
        <v>26.9</v>
      </c>
      <c r="C76">
        <v>34.6</v>
      </c>
      <c r="D76">
        <v>26.9</v>
      </c>
    </row>
    <row r="77" spans="2:4" x14ac:dyDescent="0.2">
      <c r="B77">
        <v>12.8</v>
      </c>
      <c r="C77">
        <v>26</v>
      </c>
      <c r="D77">
        <v>12.8</v>
      </c>
    </row>
    <row r="78" spans="2:4" x14ac:dyDescent="0.2">
      <c r="B78">
        <v>18.3</v>
      </c>
      <c r="C78">
        <v>32</v>
      </c>
      <c r="D78">
        <v>18.3</v>
      </c>
    </row>
    <row r="79" spans="2:4" x14ac:dyDescent="0.2">
      <c r="B79">
        <v>9.8000000000000007</v>
      </c>
      <c r="C79">
        <v>15.8</v>
      </c>
      <c r="D79">
        <v>9.8000000000000007</v>
      </c>
    </row>
    <row r="80" spans="2:4" x14ac:dyDescent="0.2">
      <c r="B80">
        <v>18</v>
      </c>
      <c r="C80">
        <v>30.6</v>
      </c>
      <c r="D80">
        <v>18</v>
      </c>
    </row>
    <row r="81" spans="2:4" x14ac:dyDescent="0.2">
      <c r="B81">
        <v>25.1</v>
      </c>
      <c r="C81">
        <v>35.700000000000003</v>
      </c>
      <c r="D81">
        <v>25.1</v>
      </c>
    </row>
    <row r="82" spans="2:4" x14ac:dyDescent="0.2">
      <c r="B82">
        <v>21.4</v>
      </c>
      <c r="C82">
        <v>33.4</v>
      </c>
      <c r="D82">
        <v>21.4</v>
      </c>
    </row>
    <row r="83" spans="2:4" x14ac:dyDescent="0.2">
      <c r="B83">
        <v>21.2</v>
      </c>
      <c r="C83">
        <v>37</v>
      </c>
      <c r="D83">
        <v>21.2</v>
      </c>
    </row>
    <row r="84" spans="2:4" x14ac:dyDescent="0.2">
      <c r="B84">
        <v>15.3</v>
      </c>
      <c r="C84">
        <v>29.3</v>
      </c>
      <c r="D84">
        <v>15.3</v>
      </c>
    </row>
    <row r="85" spans="2:4" x14ac:dyDescent="0.2">
      <c r="B85">
        <v>20.6</v>
      </c>
      <c r="C85">
        <v>33.700000000000003</v>
      </c>
      <c r="D85">
        <v>20.6</v>
      </c>
    </row>
    <row r="86" spans="2:4" x14ac:dyDescent="0.2">
      <c r="B86">
        <v>16.5</v>
      </c>
      <c r="C86">
        <v>31.8</v>
      </c>
      <c r="D86">
        <v>16.5</v>
      </c>
    </row>
    <row r="87" spans="2:4" x14ac:dyDescent="0.2">
      <c r="B87">
        <v>16.399999999999999</v>
      </c>
      <c r="C87">
        <v>32</v>
      </c>
      <c r="D87">
        <v>16.399999999999999</v>
      </c>
    </row>
    <row r="88" spans="2:4" x14ac:dyDescent="0.2">
      <c r="B88">
        <v>23.5</v>
      </c>
      <c r="C88">
        <v>35.9</v>
      </c>
      <c r="D88">
        <v>23.5</v>
      </c>
    </row>
    <row r="89" spans="2:4" x14ac:dyDescent="0.2">
      <c r="B89">
        <v>10</v>
      </c>
      <c r="C89">
        <v>21.7</v>
      </c>
      <c r="D89">
        <v>10</v>
      </c>
    </row>
    <row r="90" spans="2:4" x14ac:dyDescent="0.2">
      <c r="B90">
        <v>22.2</v>
      </c>
      <c r="C90">
        <v>32.200000000000003</v>
      </c>
      <c r="D90">
        <v>22.2</v>
      </c>
    </row>
    <row r="91" spans="2:4" x14ac:dyDescent="0.2">
      <c r="B91">
        <v>5.5</v>
      </c>
      <c r="C91">
        <v>13.3</v>
      </c>
      <c r="D91">
        <v>5.5</v>
      </c>
    </row>
    <row r="92" spans="2:4" x14ac:dyDescent="0.2">
      <c r="B92">
        <v>17.100000000000001</v>
      </c>
      <c r="C92">
        <v>32.700000000000003</v>
      </c>
      <c r="D92">
        <v>17.100000000000001</v>
      </c>
    </row>
    <row r="93" spans="2:4" x14ac:dyDescent="0.2">
      <c r="B93">
        <v>20.9</v>
      </c>
      <c r="C93">
        <v>36.9</v>
      </c>
      <c r="D93">
        <v>20.9</v>
      </c>
    </row>
    <row r="94" spans="2:4" x14ac:dyDescent="0.2">
      <c r="B94">
        <v>16.2</v>
      </c>
      <c r="C94">
        <v>32.9</v>
      </c>
      <c r="D94">
        <v>16.2</v>
      </c>
    </row>
    <row r="95" spans="2:4" x14ac:dyDescent="0.2">
      <c r="B95">
        <v>18.2</v>
      </c>
      <c r="C95">
        <v>31.3</v>
      </c>
      <c r="D95">
        <v>18.2</v>
      </c>
    </row>
    <row r="96" spans="2:4" x14ac:dyDescent="0.2">
      <c r="B96">
        <v>12.5</v>
      </c>
      <c r="C96">
        <v>25.3</v>
      </c>
      <c r="D96">
        <v>12.5</v>
      </c>
    </row>
    <row r="97" spans="2:4" x14ac:dyDescent="0.2">
      <c r="B97">
        <v>23.1</v>
      </c>
      <c r="C97">
        <v>34.799999999999997</v>
      </c>
      <c r="D97">
        <v>23.1</v>
      </c>
    </row>
    <row r="98" spans="2:4" x14ac:dyDescent="0.2">
      <c r="B98">
        <v>20.9</v>
      </c>
      <c r="C98">
        <v>35.6</v>
      </c>
      <c r="D98">
        <v>20.9</v>
      </c>
    </row>
    <row r="99" spans="2:4" x14ac:dyDescent="0.2">
      <c r="B99">
        <v>12.7</v>
      </c>
      <c r="C99">
        <v>33.700000000000003</v>
      </c>
      <c r="D99">
        <v>12.7</v>
      </c>
    </row>
    <row r="100" spans="2:4" x14ac:dyDescent="0.2">
      <c r="B100">
        <v>19</v>
      </c>
      <c r="C100">
        <v>30.5</v>
      </c>
      <c r="D100">
        <v>19</v>
      </c>
    </row>
    <row r="101" spans="2:4" x14ac:dyDescent="0.2">
      <c r="B101">
        <v>21.8</v>
      </c>
      <c r="C101">
        <v>35.1</v>
      </c>
      <c r="D101">
        <v>21.8</v>
      </c>
    </row>
    <row r="102" spans="2:4" x14ac:dyDescent="0.2">
      <c r="B102">
        <v>19.100000000000001</v>
      </c>
      <c r="C102">
        <v>33.5</v>
      </c>
      <c r="D102">
        <v>19.100000000000001</v>
      </c>
    </row>
    <row r="103" spans="2:4" x14ac:dyDescent="0.2">
      <c r="B103">
        <v>20.399999999999999</v>
      </c>
      <c r="C103">
        <v>34.200000000000003</v>
      </c>
      <c r="D103">
        <v>20.399999999999999</v>
      </c>
    </row>
    <row r="104" spans="2:4" x14ac:dyDescent="0.2">
      <c r="B104">
        <v>19.600000000000001</v>
      </c>
      <c r="C104">
        <v>31.5</v>
      </c>
      <c r="D104">
        <v>19.600000000000001</v>
      </c>
    </row>
    <row r="105" spans="2:4" x14ac:dyDescent="0.2">
      <c r="B105">
        <v>19.899999999999999</v>
      </c>
      <c r="C105">
        <v>36.200000000000003</v>
      </c>
      <c r="D105">
        <v>19.899999999999999</v>
      </c>
    </row>
    <row r="106" spans="2:4" x14ac:dyDescent="0.2">
      <c r="B106">
        <v>16.8</v>
      </c>
      <c r="C106">
        <v>28.2</v>
      </c>
      <c r="D106">
        <v>16.8</v>
      </c>
    </row>
    <row r="107" spans="2:4" x14ac:dyDescent="0.2">
      <c r="B107">
        <v>8.5</v>
      </c>
      <c r="C107">
        <v>16.399999999999999</v>
      </c>
      <c r="D107">
        <v>8.5</v>
      </c>
    </row>
    <row r="108" spans="2:4" x14ac:dyDescent="0.2">
      <c r="B108">
        <v>18.8</v>
      </c>
      <c r="C108">
        <v>30.7</v>
      </c>
      <c r="D108">
        <v>18.8</v>
      </c>
    </row>
    <row r="109" spans="2:4" x14ac:dyDescent="0.2">
      <c r="B109">
        <v>15.2</v>
      </c>
      <c r="C109">
        <v>32.1</v>
      </c>
      <c r="D109">
        <v>15.2</v>
      </c>
    </row>
    <row r="110" spans="2:4" x14ac:dyDescent="0.2">
      <c r="B110">
        <v>15.3</v>
      </c>
      <c r="C110">
        <v>31.4</v>
      </c>
      <c r="D110">
        <v>15.3</v>
      </c>
    </row>
    <row r="111" spans="2:4" x14ac:dyDescent="0.2">
      <c r="B111">
        <v>14</v>
      </c>
      <c r="C111">
        <v>34.700000000000003</v>
      </c>
      <c r="D111">
        <v>14</v>
      </c>
    </row>
    <row r="112" spans="2:4" x14ac:dyDescent="0.2">
      <c r="B112">
        <v>20.399999999999999</v>
      </c>
      <c r="C112">
        <v>31.5</v>
      </c>
      <c r="D112">
        <v>20.399999999999999</v>
      </c>
    </row>
    <row r="113" spans="2:4" x14ac:dyDescent="0.2">
      <c r="B113">
        <v>16</v>
      </c>
      <c r="C113">
        <v>31.5</v>
      </c>
      <c r="D113">
        <v>16</v>
      </c>
    </row>
    <row r="114" spans="2:4" x14ac:dyDescent="0.2">
      <c r="B114">
        <v>16</v>
      </c>
      <c r="C114">
        <v>30.1</v>
      </c>
      <c r="D114">
        <v>16</v>
      </c>
    </row>
    <row r="115" spans="2:4" x14ac:dyDescent="0.2">
      <c r="B115">
        <v>19.5</v>
      </c>
      <c r="C115">
        <v>34.700000000000003</v>
      </c>
      <c r="D115">
        <v>19.5</v>
      </c>
    </row>
    <row r="116" spans="2:4" x14ac:dyDescent="0.2">
      <c r="B116">
        <v>13.7</v>
      </c>
      <c r="C116">
        <v>32.1</v>
      </c>
      <c r="D116">
        <v>13.7</v>
      </c>
    </row>
    <row r="117" spans="2:4" x14ac:dyDescent="0.2">
      <c r="B117">
        <v>16.899999999999999</v>
      </c>
      <c r="C117">
        <v>35.299999999999997</v>
      </c>
      <c r="D117">
        <v>16.899999999999999</v>
      </c>
    </row>
    <row r="118" spans="2:4" x14ac:dyDescent="0.2">
      <c r="B118">
        <v>6.5</v>
      </c>
      <c r="C118">
        <v>20.8</v>
      </c>
      <c r="D118">
        <v>6.5</v>
      </c>
    </row>
    <row r="119" spans="2:4" x14ac:dyDescent="0.2">
      <c r="B119">
        <v>22.1</v>
      </c>
      <c r="C119">
        <v>33.299999999999997</v>
      </c>
      <c r="D119">
        <v>22.1</v>
      </c>
    </row>
    <row r="120" spans="2:4" x14ac:dyDescent="0.2">
      <c r="B120">
        <v>7</v>
      </c>
      <c r="C120">
        <v>16.8</v>
      </c>
      <c r="D120">
        <v>7</v>
      </c>
    </row>
    <row r="121" spans="2:4" x14ac:dyDescent="0.2">
      <c r="B121">
        <v>15.3</v>
      </c>
      <c r="C121">
        <v>29.6</v>
      </c>
      <c r="D121">
        <v>15.3</v>
      </c>
    </row>
    <row r="122" spans="2:4" x14ac:dyDescent="0.2">
      <c r="B122">
        <v>19.7</v>
      </c>
      <c r="C122">
        <v>36.200000000000003</v>
      </c>
      <c r="D122">
        <v>19.7</v>
      </c>
    </row>
    <row r="123" spans="2:4" x14ac:dyDescent="0.2">
      <c r="B123">
        <v>7</v>
      </c>
      <c r="C123">
        <v>19.100000000000001</v>
      </c>
      <c r="D123">
        <v>7</v>
      </c>
    </row>
    <row r="124" spans="2:4" x14ac:dyDescent="0.2">
      <c r="B124">
        <v>12</v>
      </c>
      <c r="C124">
        <v>23.3</v>
      </c>
      <c r="D124">
        <v>12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topLeftCell="D10" workbookViewId="0">
      <selection activeCell="G2" sqref="G2"/>
    </sheetView>
  </sheetViews>
  <sheetFormatPr baseColWidth="10" defaultRowHeight="16" x14ac:dyDescent="0.2"/>
  <cols>
    <col min="6" max="6" width="15.6640625" customWidth="1"/>
    <col min="7" max="7" width="15.33203125" customWidth="1"/>
    <col min="9" max="9" width="21.5" customWidth="1"/>
  </cols>
  <sheetData>
    <row r="1" spans="1:19" x14ac:dyDescent="0.2">
      <c r="B1" t="s">
        <v>103</v>
      </c>
      <c r="D1" t="s">
        <v>21</v>
      </c>
      <c r="E1" t="s">
        <v>52</v>
      </c>
      <c r="F1" t="s">
        <v>116</v>
      </c>
      <c r="G1" t="s">
        <v>117</v>
      </c>
      <c r="H1" t="s">
        <v>119</v>
      </c>
      <c r="I1" t="s">
        <v>118</v>
      </c>
      <c r="J1" t="s">
        <v>119</v>
      </c>
      <c r="K1" t="s">
        <v>53</v>
      </c>
      <c r="N1" t="s">
        <v>105</v>
      </c>
      <c r="O1">
        <f>AVERAGE(D:D)</f>
        <v>11.689999999999998</v>
      </c>
      <c r="R1" t="s">
        <v>122</v>
      </c>
      <c r="S1" t="s">
        <v>123</v>
      </c>
    </row>
    <row r="2" spans="1:19" x14ac:dyDescent="0.2">
      <c r="A2">
        <v>1</v>
      </c>
      <c r="B2" t="s">
        <v>0</v>
      </c>
      <c r="D2">
        <v>27.6</v>
      </c>
      <c r="E2" t="s">
        <v>53</v>
      </c>
      <c r="F2">
        <f>IF(D2&gt;$O$1,1,0)</f>
        <v>1</v>
      </c>
      <c r="G2" t="b">
        <f>AND(E2="Lottery",D2&gt;$O$1)</f>
        <v>1</v>
      </c>
      <c r="H2">
        <f>IF(G2=TRUE,1,0)</f>
        <v>1</v>
      </c>
      <c r="I2" t="b">
        <f>AND(E2="Lottery",D2&lt;$O$1)</f>
        <v>0</v>
      </c>
      <c r="J2">
        <f>IF(I2=TRUE,1,0)</f>
        <v>0</v>
      </c>
      <c r="K2">
        <f>IF(E2="Lottery",1,0)</f>
        <v>1</v>
      </c>
      <c r="N2" t="s">
        <v>81</v>
      </c>
      <c r="O2">
        <v>60</v>
      </c>
      <c r="Q2" t="s">
        <v>121</v>
      </c>
      <c r="R2">
        <f>M5/M7</f>
        <v>0.51428571428571423</v>
      </c>
      <c r="S2">
        <f>N5/N7</f>
        <v>0.4</v>
      </c>
    </row>
    <row r="3" spans="1:19" x14ac:dyDescent="0.2">
      <c r="A3">
        <v>2</v>
      </c>
      <c r="B3" t="s">
        <v>1</v>
      </c>
      <c r="D3">
        <v>22.8</v>
      </c>
      <c r="E3" t="s">
        <v>53</v>
      </c>
      <c r="F3">
        <f t="shared" ref="F3:F61" si="0">IF(D3&gt;$O$1,1,0)</f>
        <v>1</v>
      </c>
      <c r="G3" t="b">
        <f t="shared" ref="G3:G62" si="1">AND(E3="Lottery",D3&gt;$O$1)</f>
        <v>1</v>
      </c>
      <c r="H3">
        <f t="shared" ref="H3:H62" si="2">IF(G3=TRUE,1,0)</f>
        <v>1</v>
      </c>
      <c r="I3" t="b">
        <f t="shared" ref="I3:I62" si="3">AND(E3="Lottery",D3&lt;$O$1)</f>
        <v>0</v>
      </c>
      <c r="J3">
        <f t="shared" ref="J3:J62" si="4">IF(I3=TRUE,1,0)</f>
        <v>0</v>
      </c>
      <c r="K3">
        <f t="shared" ref="K3:K61" si="5">IF(E3="Lottery",1,0)</f>
        <v>1</v>
      </c>
      <c r="Q3" t="s">
        <v>106</v>
      </c>
      <c r="R3">
        <f>SQRT(R2*(1-R2)/M7)</f>
        <v>8.4480922337928199E-2</v>
      </c>
      <c r="S3">
        <f>SQRT(S2*(1-S2)/N7)</f>
        <v>9.7979589711327114E-2</v>
      </c>
    </row>
    <row r="4" spans="1:19" x14ac:dyDescent="0.2">
      <c r="A4">
        <v>3</v>
      </c>
      <c r="B4" t="s">
        <v>3</v>
      </c>
      <c r="D4">
        <v>23.1</v>
      </c>
      <c r="E4" t="s">
        <v>53</v>
      </c>
      <c r="F4">
        <f t="shared" si="0"/>
        <v>1</v>
      </c>
      <c r="G4" t="b">
        <f t="shared" si="1"/>
        <v>1</v>
      </c>
      <c r="H4">
        <f t="shared" si="2"/>
        <v>1</v>
      </c>
      <c r="I4" t="b">
        <f t="shared" si="3"/>
        <v>0</v>
      </c>
      <c r="J4">
        <f t="shared" si="4"/>
        <v>0</v>
      </c>
      <c r="K4">
        <f t="shared" si="5"/>
        <v>1</v>
      </c>
      <c r="M4" t="s">
        <v>53</v>
      </c>
      <c r="N4" t="s">
        <v>104</v>
      </c>
      <c r="O4" t="s">
        <v>114</v>
      </c>
    </row>
    <row r="5" spans="1:19" x14ac:dyDescent="0.2">
      <c r="A5">
        <v>4</v>
      </c>
      <c r="B5" t="s">
        <v>4</v>
      </c>
      <c r="D5">
        <v>18.399999999999999</v>
      </c>
      <c r="E5" t="s">
        <v>53</v>
      </c>
      <c r="F5">
        <f t="shared" si="0"/>
        <v>1</v>
      </c>
      <c r="G5" t="b">
        <f t="shared" si="1"/>
        <v>1</v>
      </c>
      <c r="H5">
        <f t="shared" si="2"/>
        <v>1</v>
      </c>
      <c r="I5" t="b">
        <f t="shared" si="3"/>
        <v>0</v>
      </c>
      <c r="J5">
        <f t="shared" si="4"/>
        <v>0</v>
      </c>
      <c r="K5">
        <f t="shared" si="5"/>
        <v>1</v>
      </c>
      <c r="L5" t="s">
        <v>127</v>
      </c>
      <c r="M5">
        <v>18</v>
      </c>
      <c r="N5">
        <v>10</v>
      </c>
      <c r="O5">
        <f>M5+N5</f>
        <v>28</v>
      </c>
      <c r="Q5" t="s">
        <v>125</v>
      </c>
      <c r="R5">
        <f>R2-S2</f>
        <v>0.11428571428571421</v>
      </c>
    </row>
    <row r="6" spans="1:19" x14ac:dyDescent="0.2">
      <c r="A6">
        <v>5</v>
      </c>
      <c r="B6" t="s">
        <v>5</v>
      </c>
      <c r="D6">
        <v>18.5</v>
      </c>
      <c r="E6" t="s">
        <v>53</v>
      </c>
      <c r="F6">
        <f t="shared" si="0"/>
        <v>1</v>
      </c>
      <c r="G6" t="b">
        <f t="shared" si="1"/>
        <v>1</v>
      </c>
      <c r="H6">
        <f t="shared" si="2"/>
        <v>1</v>
      </c>
      <c r="I6" t="b">
        <f t="shared" si="3"/>
        <v>0</v>
      </c>
      <c r="J6">
        <f t="shared" si="4"/>
        <v>0</v>
      </c>
      <c r="K6">
        <f t="shared" si="5"/>
        <v>1</v>
      </c>
      <c r="L6" t="s">
        <v>128</v>
      </c>
      <c r="M6">
        <v>17</v>
      </c>
      <c r="N6">
        <v>15</v>
      </c>
      <c r="O6">
        <f>M6+N6</f>
        <v>32</v>
      </c>
      <c r="Q6" t="s">
        <v>126</v>
      </c>
      <c r="R6">
        <f>SQRT(R3^2+S3^2)</f>
        <v>0.12937165933490632</v>
      </c>
    </row>
    <row r="7" spans="1:19" x14ac:dyDescent="0.2">
      <c r="A7">
        <v>6</v>
      </c>
      <c r="B7" t="s">
        <v>6</v>
      </c>
      <c r="D7">
        <v>9.3000000000000007</v>
      </c>
      <c r="E7" t="s">
        <v>53</v>
      </c>
      <c r="F7">
        <f t="shared" si="0"/>
        <v>0</v>
      </c>
      <c r="G7" t="b">
        <f t="shared" si="1"/>
        <v>0</v>
      </c>
      <c r="H7">
        <f t="shared" si="2"/>
        <v>0</v>
      </c>
      <c r="I7" t="b">
        <f t="shared" si="3"/>
        <v>1</v>
      </c>
      <c r="J7">
        <f t="shared" si="4"/>
        <v>1</v>
      </c>
      <c r="K7">
        <f t="shared" si="5"/>
        <v>1</v>
      </c>
      <c r="L7" t="s">
        <v>120</v>
      </c>
      <c r="M7">
        <f>M5+M6</f>
        <v>35</v>
      </c>
      <c r="N7">
        <f>N5+N6</f>
        <v>25</v>
      </c>
      <c r="O7">
        <f>O5+O6</f>
        <v>60</v>
      </c>
    </row>
    <row r="8" spans="1:19" x14ac:dyDescent="0.2">
      <c r="A8">
        <v>7</v>
      </c>
      <c r="B8" t="s">
        <v>24</v>
      </c>
      <c r="D8">
        <v>4.3</v>
      </c>
      <c r="E8" t="s">
        <v>53</v>
      </c>
      <c r="F8">
        <f t="shared" si="0"/>
        <v>0</v>
      </c>
      <c r="G8" t="b">
        <f t="shared" si="1"/>
        <v>0</v>
      </c>
      <c r="H8">
        <f t="shared" si="2"/>
        <v>0</v>
      </c>
      <c r="I8" t="b">
        <f t="shared" si="3"/>
        <v>1</v>
      </c>
      <c r="J8">
        <f t="shared" si="4"/>
        <v>1</v>
      </c>
      <c r="K8">
        <f t="shared" si="5"/>
        <v>1</v>
      </c>
      <c r="Q8" t="s">
        <v>108</v>
      </c>
      <c r="R8">
        <v>0.05</v>
      </c>
    </row>
    <row r="9" spans="1:19" x14ac:dyDescent="0.2">
      <c r="A9">
        <v>8</v>
      </c>
      <c r="B9" t="s">
        <v>25</v>
      </c>
      <c r="D9">
        <v>14.2</v>
      </c>
      <c r="E9" t="s">
        <v>53</v>
      </c>
      <c r="F9">
        <f t="shared" si="0"/>
        <v>1</v>
      </c>
      <c r="G9" t="b">
        <f t="shared" si="1"/>
        <v>1</v>
      </c>
      <c r="H9">
        <f t="shared" si="2"/>
        <v>1</v>
      </c>
      <c r="I9" t="b">
        <f t="shared" si="3"/>
        <v>0</v>
      </c>
      <c r="J9">
        <f t="shared" si="4"/>
        <v>0</v>
      </c>
      <c r="K9">
        <f t="shared" si="5"/>
        <v>1</v>
      </c>
    </row>
    <row r="10" spans="1:19" x14ac:dyDescent="0.2">
      <c r="A10">
        <v>9</v>
      </c>
      <c r="B10" t="s">
        <v>27</v>
      </c>
      <c r="D10">
        <v>14.2</v>
      </c>
      <c r="E10" t="s">
        <v>53</v>
      </c>
      <c r="F10">
        <f t="shared" si="0"/>
        <v>1</v>
      </c>
      <c r="G10" t="b">
        <f t="shared" si="1"/>
        <v>1</v>
      </c>
      <c r="H10">
        <f t="shared" si="2"/>
        <v>1</v>
      </c>
      <c r="I10" t="b">
        <f t="shared" si="3"/>
        <v>0</v>
      </c>
      <c r="J10">
        <f t="shared" si="4"/>
        <v>0</v>
      </c>
      <c r="K10">
        <f t="shared" si="5"/>
        <v>1</v>
      </c>
      <c r="Q10" t="s">
        <v>124</v>
      </c>
      <c r="R10">
        <f>ABS(_xlfn.NORM.S.INV(R8/2))</f>
        <v>1.9599639845400538</v>
      </c>
    </row>
    <row r="11" spans="1:19" x14ac:dyDescent="0.2">
      <c r="A11">
        <v>10</v>
      </c>
      <c r="B11" t="s">
        <v>28</v>
      </c>
      <c r="D11">
        <v>11.1</v>
      </c>
      <c r="E11" t="s">
        <v>53</v>
      </c>
      <c r="F11">
        <f t="shared" si="0"/>
        <v>0</v>
      </c>
      <c r="G11" t="b">
        <f t="shared" si="1"/>
        <v>0</v>
      </c>
      <c r="H11">
        <f t="shared" si="2"/>
        <v>0</v>
      </c>
      <c r="I11" t="b">
        <f t="shared" si="3"/>
        <v>1</v>
      </c>
      <c r="J11">
        <f t="shared" si="4"/>
        <v>1</v>
      </c>
      <c r="K11">
        <f t="shared" si="5"/>
        <v>1</v>
      </c>
      <c r="Q11" t="s">
        <v>110</v>
      </c>
      <c r="R11">
        <f>R10*R6</f>
        <v>0.25356379291660147</v>
      </c>
    </row>
    <row r="12" spans="1:19" x14ac:dyDescent="0.2">
      <c r="A12">
        <v>11</v>
      </c>
      <c r="B12" t="s">
        <v>29</v>
      </c>
      <c r="D12">
        <v>12.4</v>
      </c>
      <c r="E12" t="s">
        <v>53</v>
      </c>
      <c r="F12">
        <f t="shared" si="0"/>
        <v>1</v>
      </c>
      <c r="G12" t="b">
        <f t="shared" si="1"/>
        <v>1</v>
      </c>
      <c r="H12">
        <f t="shared" si="2"/>
        <v>1</v>
      </c>
      <c r="I12" t="b">
        <f t="shared" si="3"/>
        <v>0</v>
      </c>
      <c r="J12">
        <f t="shared" si="4"/>
        <v>0</v>
      </c>
      <c r="K12">
        <f t="shared" si="5"/>
        <v>1</v>
      </c>
    </row>
    <row r="13" spans="1:19" x14ac:dyDescent="0.2">
      <c r="A13">
        <v>12</v>
      </c>
      <c r="B13" t="s">
        <v>31</v>
      </c>
      <c r="D13">
        <v>7.4</v>
      </c>
      <c r="E13" t="s">
        <v>53</v>
      </c>
      <c r="F13">
        <f t="shared" si="0"/>
        <v>0</v>
      </c>
      <c r="G13" t="b">
        <f t="shared" si="1"/>
        <v>0</v>
      </c>
      <c r="H13">
        <f t="shared" si="2"/>
        <v>0</v>
      </c>
      <c r="I13" t="b">
        <f t="shared" si="3"/>
        <v>1</v>
      </c>
      <c r="J13">
        <f t="shared" si="4"/>
        <v>1</v>
      </c>
      <c r="K13">
        <f t="shared" si="5"/>
        <v>1</v>
      </c>
      <c r="Q13" t="s">
        <v>112</v>
      </c>
      <c r="R13">
        <f>R5-R11</f>
        <v>-0.13927807863088726</v>
      </c>
    </row>
    <row r="14" spans="1:19" x14ac:dyDescent="0.2">
      <c r="A14">
        <v>13</v>
      </c>
      <c r="B14" t="s">
        <v>38</v>
      </c>
      <c r="D14">
        <v>9.5</v>
      </c>
      <c r="E14" t="s">
        <v>53</v>
      </c>
      <c r="F14">
        <f t="shared" si="0"/>
        <v>0</v>
      </c>
      <c r="G14" t="b">
        <f t="shared" si="1"/>
        <v>0</v>
      </c>
      <c r="H14">
        <f t="shared" si="2"/>
        <v>0</v>
      </c>
      <c r="I14" t="b">
        <f t="shared" si="3"/>
        <v>1</v>
      </c>
      <c r="J14">
        <f t="shared" si="4"/>
        <v>1</v>
      </c>
      <c r="K14">
        <f t="shared" si="5"/>
        <v>1</v>
      </c>
      <c r="Q14" t="s">
        <v>113</v>
      </c>
      <c r="R14">
        <f>R5+R11</f>
        <v>0.36784950720231568</v>
      </c>
    </row>
    <row r="15" spans="1:19" x14ac:dyDescent="0.2">
      <c r="A15">
        <v>14</v>
      </c>
      <c r="B15" t="s">
        <v>41</v>
      </c>
      <c r="D15">
        <v>3.4</v>
      </c>
      <c r="E15" t="s">
        <v>53</v>
      </c>
      <c r="F15">
        <f t="shared" si="0"/>
        <v>0</v>
      </c>
      <c r="G15" t="b">
        <f t="shared" si="1"/>
        <v>0</v>
      </c>
      <c r="H15">
        <f t="shared" si="2"/>
        <v>0</v>
      </c>
      <c r="I15" t="b">
        <f t="shared" si="3"/>
        <v>1</v>
      </c>
      <c r="J15">
        <f t="shared" si="4"/>
        <v>1</v>
      </c>
      <c r="K15">
        <f t="shared" si="5"/>
        <v>1</v>
      </c>
    </row>
    <row r="16" spans="1:19" x14ac:dyDescent="0.2">
      <c r="A16">
        <v>15</v>
      </c>
      <c r="B16" t="s">
        <v>44</v>
      </c>
      <c r="D16">
        <v>14.6</v>
      </c>
      <c r="E16" t="s">
        <v>53</v>
      </c>
      <c r="F16">
        <f t="shared" si="0"/>
        <v>1</v>
      </c>
      <c r="G16" t="b">
        <f t="shared" si="1"/>
        <v>1</v>
      </c>
      <c r="H16">
        <f t="shared" si="2"/>
        <v>1</v>
      </c>
      <c r="I16" t="b">
        <f t="shared" si="3"/>
        <v>0</v>
      </c>
      <c r="J16">
        <f t="shared" si="4"/>
        <v>0</v>
      </c>
      <c r="K16">
        <f t="shared" si="5"/>
        <v>1</v>
      </c>
    </row>
    <row r="17" spans="1:11" x14ac:dyDescent="0.2">
      <c r="A17">
        <v>16</v>
      </c>
      <c r="B17" t="s">
        <v>45</v>
      </c>
      <c r="D17">
        <v>11.6</v>
      </c>
      <c r="E17" t="s">
        <v>53</v>
      </c>
      <c r="F17">
        <f t="shared" si="0"/>
        <v>0</v>
      </c>
      <c r="G17" t="b">
        <f t="shared" si="1"/>
        <v>0</v>
      </c>
      <c r="H17">
        <f t="shared" si="2"/>
        <v>0</v>
      </c>
      <c r="I17" t="b">
        <f t="shared" si="3"/>
        <v>1</v>
      </c>
      <c r="J17">
        <f t="shared" si="4"/>
        <v>1</v>
      </c>
      <c r="K17">
        <f t="shared" si="5"/>
        <v>1</v>
      </c>
    </row>
    <row r="18" spans="1:11" x14ac:dyDescent="0.2">
      <c r="A18">
        <v>17</v>
      </c>
      <c r="B18" t="s">
        <v>47</v>
      </c>
      <c r="D18">
        <v>13.7</v>
      </c>
      <c r="E18" t="s">
        <v>53</v>
      </c>
      <c r="F18">
        <f t="shared" si="0"/>
        <v>1</v>
      </c>
      <c r="G18" t="b">
        <f t="shared" si="1"/>
        <v>1</v>
      </c>
      <c r="H18">
        <f t="shared" si="2"/>
        <v>1</v>
      </c>
      <c r="I18" t="b">
        <f t="shared" si="3"/>
        <v>0</v>
      </c>
      <c r="J18">
        <f t="shared" si="4"/>
        <v>0</v>
      </c>
      <c r="K18">
        <f t="shared" si="5"/>
        <v>1</v>
      </c>
    </row>
    <row r="19" spans="1:11" x14ac:dyDescent="0.2">
      <c r="A19">
        <v>18</v>
      </c>
      <c r="B19" t="s">
        <v>48</v>
      </c>
      <c r="D19">
        <v>12.7</v>
      </c>
      <c r="E19" t="s">
        <v>53</v>
      </c>
      <c r="F19">
        <f t="shared" si="0"/>
        <v>1</v>
      </c>
      <c r="G19" t="b">
        <f t="shared" si="1"/>
        <v>1</v>
      </c>
      <c r="H19">
        <f t="shared" si="2"/>
        <v>1</v>
      </c>
      <c r="I19" t="b">
        <f t="shared" si="3"/>
        <v>0</v>
      </c>
      <c r="J19">
        <f t="shared" si="4"/>
        <v>0</v>
      </c>
      <c r="K19">
        <f t="shared" si="5"/>
        <v>1</v>
      </c>
    </row>
    <row r="20" spans="1:11" x14ac:dyDescent="0.2">
      <c r="A20">
        <v>19</v>
      </c>
      <c r="B20" t="s">
        <v>49</v>
      </c>
      <c r="D20">
        <v>10.1</v>
      </c>
      <c r="E20" t="s">
        <v>53</v>
      </c>
      <c r="F20">
        <f t="shared" si="0"/>
        <v>0</v>
      </c>
      <c r="G20" t="b">
        <f t="shared" si="1"/>
        <v>0</v>
      </c>
      <c r="H20">
        <f t="shared" si="2"/>
        <v>0</v>
      </c>
      <c r="I20" t="b">
        <f t="shared" si="3"/>
        <v>1</v>
      </c>
      <c r="J20">
        <f t="shared" si="4"/>
        <v>1</v>
      </c>
      <c r="K20">
        <f t="shared" si="5"/>
        <v>1</v>
      </c>
    </row>
    <row r="21" spans="1:11" x14ac:dyDescent="0.2">
      <c r="A21">
        <v>20</v>
      </c>
      <c r="B21" t="s">
        <v>51</v>
      </c>
      <c r="D21">
        <v>4.3</v>
      </c>
      <c r="E21" t="s">
        <v>53</v>
      </c>
      <c r="F21">
        <f t="shared" si="0"/>
        <v>0</v>
      </c>
      <c r="G21" t="b">
        <f t="shared" si="1"/>
        <v>0</v>
      </c>
      <c r="H21">
        <f t="shared" si="2"/>
        <v>0</v>
      </c>
      <c r="I21" t="b">
        <f t="shared" si="3"/>
        <v>1</v>
      </c>
      <c r="J21">
        <f t="shared" si="4"/>
        <v>1</v>
      </c>
      <c r="K21">
        <f t="shared" si="5"/>
        <v>1</v>
      </c>
    </row>
    <row r="22" spans="1:11" x14ac:dyDescent="0.2">
      <c r="A22">
        <v>21</v>
      </c>
      <c r="B22" t="s">
        <v>60</v>
      </c>
      <c r="D22">
        <v>16</v>
      </c>
      <c r="E22" t="s">
        <v>53</v>
      </c>
      <c r="F22">
        <f t="shared" si="0"/>
        <v>1</v>
      </c>
      <c r="G22" t="b">
        <f t="shared" si="1"/>
        <v>1</v>
      </c>
      <c r="H22">
        <f t="shared" si="2"/>
        <v>1</v>
      </c>
      <c r="I22" t="b">
        <f t="shared" si="3"/>
        <v>0</v>
      </c>
      <c r="J22">
        <f t="shared" si="4"/>
        <v>0</v>
      </c>
      <c r="K22">
        <f t="shared" si="5"/>
        <v>1</v>
      </c>
    </row>
    <row r="23" spans="1:11" x14ac:dyDescent="0.2">
      <c r="A23">
        <v>22</v>
      </c>
      <c r="B23" t="s">
        <v>64</v>
      </c>
      <c r="D23">
        <v>13.9</v>
      </c>
      <c r="E23" t="s">
        <v>53</v>
      </c>
      <c r="F23">
        <f t="shared" si="0"/>
        <v>1</v>
      </c>
      <c r="G23" t="b">
        <f t="shared" si="1"/>
        <v>1</v>
      </c>
      <c r="H23">
        <f t="shared" si="2"/>
        <v>1</v>
      </c>
      <c r="I23" t="b">
        <f t="shared" si="3"/>
        <v>0</v>
      </c>
      <c r="J23">
        <f t="shared" si="4"/>
        <v>0</v>
      </c>
      <c r="K23">
        <f t="shared" si="5"/>
        <v>1</v>
      </c>
    </row>
    <row r="24" spans="1:11" x14ac:dyDescent="0.2">
      <c r="A24">
        <v>23</v>
      </c>
      <c r="B24" t="s">
        <v>65</v>
      </c>
      <c r="D24">
        <v>13</v>
      </c>
      <c r="E24" t="s">
        <v>53</v>
      </c>
      <c r="F24">
        <f t="shared" si="0"/>
        <v>1</v>
      </c>
      <c r="G24" t="b">
        <f t="shared" si="1"/>
        <v>1</v>
      </c>
      <c r="H24">
        <f t="shared" si="2"/>
        <v>1</v>
      </c>
      <c r="I24" t="b">
        <f t="shared" si="3"/>
        <v>0</v>
      </c>
      <c r="J24">
        <f t="shared" si="4"/>
        <v>0</v>
      </c>
      <c r="K24">
        <f t="shared" si="5"/>
        <v>1</v>
      </c>
    </row>
    <row r="25" spans="1:11" x14ac:dyDescent="0.2">
      <c r="A25">
        <v>24</v>
      </c>
      <c r="B25" t="s">
        <v>67</v>
      </c>
      <c r="D25">
        <v>10.7</v>
      </c>
      <c r="E25" t="s">
        <v>53</v>
      </c>
      <c r="F25">
        <f t="shared" si="0"/>
        <v>0</v>
      </c>
      <c r="G25" t="b">
        <f t="shared" si="1"/>
        <v>0</v>
      </c>
      <c r="H25">
        <f t="shared" si="2"/>
        <v>0</v>
      </c>
      <c r="I25" t="b">
        <f t="shared" si="3"/>
        <v>1</v>
      </c>
      <c r="J25">
        <f t="shared" si="4"/>
        <v>1</v>
      </c>
      <c r="K25">
        <f t="shared" si="5"/>
        <v>1</v>
      </c>
    </row>
    <row r="26" spans="1:11" x14ac:dyDescent="0.2">
      <c r="A26">
        <v>25</v>
      </c>
      <c r="B26" t="s">
        <v>68</v>
      </c>
      <c r="D26">
        <v>8.1</v>
      </c>
      <c r="E26" t="s">
        <v>53</v>
      </c>
      <c r="F26">
        <f t="shared" si="0"/>
        <v>0</v>
      </c>
      <c r="G26" t="b">
        <f t="shared" si="1"/>
        <v>0</v>
      </c>
      <c r="H26">
        <f t="shared" si="2"/>
        <v>0</v>
      </c>
      <c r="I26" t="b">
        <f t="shared" si="3"/>
        <v>1</v>
      </c>
      <c r="J26">
        <f t="shared" si="4"/>
        <v>1</v>
      </c>
      <c r="K26">
        <f t="shared" si="5"/>
        <v>1</v>
      </c>
    </row>
    <row r="27" spans="1:11" x14ac:dyDescent="0.2">
      <c r="A27">
        <v>26</v>
      </c>
      <c r="B27" t="s">
        <v>70</v>
      </c>
      <c r="D27">
        <v>4.8</v>
      </c>
      <c r="E27" t="s">
        <v>53</v>
      </c>
      <c r="F27">
        <f t="shared" si="0"/>
        <v>0</v>
      </c>
      <c r="G27" t="b">
        <f t="shared" si="1"/>
        <v>0</v>
      </c>
      <c r="H27">
        <f t="shared" si="2"/>
        <v>0</v>
      </c>
      <c r="I27" t="b">
        <f t="shared" si="3"/>
        <v>1</v>
      </c>
      <c r="J27">
        <f t="shared" si="4"/>
        <v>1</v>
      </c>
      <c r="K27">
        <f t="shared" si="5"/>
        <v>1</v>
      </c>
    </row>
    <row r="28" spans="1:11" x14ac:dyDescent="0.2">
      <c r="A28">
        <v>27</v>
      </c>
      <c r="B28" t="s">
        <v>71</v>
      </c>
      <c r="D28">
        <v>8</v>
      </c>
      <c r="E28" t="s">
        <v>53</v>
      </c>
      <c r="F28">
        <f t="shared" si="0"/>
        <v>0</v>
      </c>
      <c r="G28" t="b">
        <f t="shared" si="1"/>
        <v>0</v>
      </c>
      <c r="H28">
        <f t="shared" si="2"/>
        <v>0</v>
      </c>
      <c r="I28" t="b">
        <f t="shared" si="3"/>
        <v>1</v>
      </c>
      <c r="J28">
        <f t="shared" si="4"/>
        <v>1</v>
      </c>
      <c r="K28">
        <f t="shared" si="5"/>
        <v>1</v>
      </c>
    </row>
    <row r="29" spans="1:11" x14ac:dyDescent="0.2">
      <c r="A29">
        <v>28</v>
      </c>
      <c r="B29" t="s">
        <v>73</v>
      </c>
      <c r="D29">
        <v>10.4</v>
      </c>
      <c r="E29" t="s">
        <v>53</v>
      </c>
      <c r="F29">
        <f t="shared" si="0"/>
        <v>0</v>
      </c>
      <c r="G29" t="b">
        <f t="shared" si="1"/>
        <v>0</v>
      </c>
      <c r="H29">
        <f t="shared" si="2"/>
        <v>0</v>
      </c>
      <c r="I29" t="b">
        <f t="shared" si="3"/>
        <v>1</v>
      </c>
      <c r="J29">
        <f t="shared" si="4"/>
        <v>1</v>
      </c>
      <c r="K29">
        <f t="shared" si="5"/>
        <v>1</v>
      </c>
    </row>
    <row r="30" spans="1:11" x14ac:dyDescent="0.2">
      <c r="A30">
        <v>29</v>
      </c>
      <c r="B30" t="s">
        <v>74</v>
      </c>
      <c r="D30">
        <v>10.9</v>
      </c>
      <c r="E30" t="s">
        <v>53</v>
      </c>
      <c r="F30">
        <f t="shared" si="0"/>
        <v>0</v>
      </c>
      <c r="G30" t="b">
        <f t="shared" si="1"/>
        <v>0</v>
      </c>
      <c r="H30">
        <f t="shared" si="2"/>
        <v>0</v>
      </c>
      <c r="I30" t="b">
        <f t="shared" si="3"/>
        <v>1</v>
      </c>
      <c r="J30">
        <f t="shared" si="4"/>
        <v>1</v>
      </c>
      <c r="K30">
        <f t="shared" si="5"/>
        <v>1</v>
      </c>
    </row>
    <row r="31" spans="1:11" x14ac:dyDescent="0.2">
      <c r="A31">
        <v>30</v>
      </c>
      <c r="B31" t="s">
        <v>75</v>
      </c>
      <c r="D31">
        <v>9.5</v>
      </c>
      <c r="E31" t="s">
        <v>53</v>
      </c>
      <c r="F31">
        <f t="shared" si="0"/>
        <v>0</v>
      </c>
      <c r="G31" t="b">
        <f t="shared" si="1"/>
        <v>0</v>
      </c>
      <c r="H31">
        <f t="shared" si="2"/>
        <v>0</v>
      </c>
      <c r="I31" t="b">
        <f t="shared" si="3"/>
        <v>1</v>
      </c>
      <c r="J31">
        <f t="shared" si="4"/>
        <v>1</v>
      </c>
      <c r="K31">
        <f t="shared" si="5"/>
        <v>1</v>
      </c>
    </row>
    <row r="32" spans="1:11" x14ac:dyDescent="0.2">
      <c r="A32">
        <v>31</v>
      </c>
      <c r="B32" t="s">
        <v>77</v>
      </c>
      <c r="D32">
        <v>6.9</v>
      </c>
      <c r="E32" t="s">
        <v>53</v>
      </c>
      <c r="F32">
        <f t="shared" si="0"/>
        <v>0</v>
      </c>
      <c r="G32" t="b">
        <f t="shared" si="1"/>
        <v>0</v>
      </c>
      <c r="H32">
        <f t="shared" si="2"/>
        <v>0</v>
      </c>
      <c r="I32" t="b">
        <f t="shared" si="3"/>
        <v>1</v>
      </c>
      <c r="J32">
        <f t="shared" si="4"/>
        <v>1</v>
      </c>
      <c r="K32">
        <f t="shared" si="5"/>
        <v>1</v>
      </c>
    </row>
    <row r="33" spans="1:11" x14ac:dyDescent="0.2">
      <c r="A33">
        <v>32</v>
      </c>
      <c r="B33" t="s">
        <v>8</v>
      </c>
      <c r="D33">
        <v>12.3</v>
      </c>
      <c r="E33" t="s">
        <v>56</v>
      </c>
      <c r="F33">
        <f t="shared" si="0"/>
        <v>1</v>
      </c>
      <c r="G33" t="b">
        <v>1</v>
      </c>
      <c r="H33">
        <f t="shared" si="2"/>
        <v>1</v>
      </c>
      <c r="I33" t="b">
        <f t="shared" si="3"/>
        <v>0</v>
      </c>
      <c r="J33">
        <f t="shared" si="4"/>
        <v>0</v>
      </c>
      <c r="K33">
        <f t="shared" si="5"/>
        <v>0</v>
      </c>
    </row>
    <row r="34" spans="1:11" x14ac:dyDescent="0.2">
      <c r="A34">
        <v>33</v>
      </c>
      <c r="B34" t="s">
        <v>9</v>
      </c>
      <c r="D34">
        <v>15</v>
      </c>
      <c r="E34" t="s">
        <v>56</v>
      </c>
      <c r="F34">
        <f t="shared" si="0"/>
        <v>1</v>
      </c>
      <c r="G34" t="b">
        <v>1</v>
      </c>
      <c r="H34">
        <f t="shared" si="2"/>
        <v>1</v>
      </c>
      <c r="I34" t="b">
        <f t="shared" si="3"/>
        <v>0</v>
      </c>
      <c r="J34">
        <f t="shared" si="4"/>
        <v>0</v>
      </c>
      <c r="K34">
        <f t="shared" si="5"/>
        <v>0</v>
      </c>
    </row>
    <row r="35" spans="1:11" x14ac:dyDescent="0.2">
      <c r="A35">
        <v>34</v>
      </c>
      <c r="B35" t="s">
        <v>22</v>
      </c>
      <c r="D35">
        <v>6.2</v>
      </c>
      <c r="E35" t="s">
        <v>56</v>
      </c>
      <c r="F35">
        <f t="shared" si="0"/>
        <v>0</v>
      </c>
      <c r="G35" t="b">
        <f t="shared" si="1"/>
        <v>0</v>
      </c>
      <c r="H35">
        <f t="shared" si="2"/>
        <v>0</v>
      </c>
      <c r="I35" t="b">
        <f t="shared" si="3"/>
        <v>0</v>
      </c>
      <c r="J35">
        <f t="shared" si="4"/>
        <v>0</v>
      </c>
      <c r="K35">
        <f t="shared" si="5"/>
        <v>0</v>
      </c>
    </row>
    <row r="36" spans="1:11" x14ac:dyDescent="0.2">
      <c r="A36">
        <v>35</v>
      </c>
      <c r="B36" t="s">
        <v>23</v>
      </c>
      <c r="D36">
        <v>13</v>
      </c>
      <c r="E36" t="s">
        <v>56</v>
      </c>
      <c r="F36">
        <f t="shared" si="0"/>
        <v>1</v>
      </c>
      <c r="G36" t="b">
        <f t="shared" si="1"/>
        <v>0</v>
      </c>
      <c r="H36">
        <f t="shared" si="2"/>
        <v>0</v>
      </c>
      <c r="I36" t="b">
        <f t="shared" si="3"/>
        <v>0</v>
      </c>
      <c r="J36">
        <f t="shared" si="4"/>
        <v>0</v>
      </c>
      <c r="K36">
        <f t="shared" si="5"/>
        <v>0</v>
      </c>
    </row>
    <row r="37" spans="1:11" x14ac:dyDescent="0.2">
      <c r="A37">
        <v>36</v>
      </c>
      <c r="B37" t="s">
        <v>32</v>
      </c>
      <c r="D37">
        <v>12.2</v>
      </c>
      <c r="E37" t="s">
        <v>56</v>
      </c>
      <c r="F37">
        <f t="shared" si="0"/>
        <v>1</v>
      </c>
      <c r="G37" t="b">
        <v>1</v>
      </c>
      <c r="H37">
        <f t="shared" si="2"/>
        <v>1</v>
      </c>
      <c r="I37" t="b">
        <f t="shared" si="3"/>
        <v>0</v>
      </c>
      <c r="J37">
        <f t="shared" si="4"/>
        <v>0</v>
      </c>
      <c r="K37">
        <f t="shared" si="5"/>
        <v>0</v>
      </c>
    </row>
    <row r="38" spans="1:11" x14ac:dyDescent="0.2">
      <c r="A38">
        <v>37</v>
      </c>
      <c r="B38" t="s">
        <v>33</v>
      </c>
      <c r="D38">
        <v>11.6</v>
      </c>
      <c r="E38" t="s">
        <v>56</v>
      </c>
      <c r="F38">
        <f t="shared" si="0"/>
        <v>0</v>
      </c>
      <c r="G38" t="b">
        <v>1</v>
      </c>
      <c r="H38">
        <f t="shared" si="2"/>
        <v>1</v>
      </c>
      <c r="I38" t="b">
        <f t="shared" si="3"/>
        <v>0</v>
      </c>
      <c r="J38">
        <f t="shared" si="4"/>
        <v>0</v>
      </c>
      <c r="K38">
        <f t="shared" si="5"/>
        <v>0</v>
      </c>
    </row>
    <row r="39" spans="1:11" x14ac:dyDescent="0.2">
      <c r="A39">
        <v>38</v>
      </c>
      <c r="B39" t="s">
        <v>34</v>
      </c>
      <c r="D39">
        <v>7.4</v>
      </c>
      <c r="E39" t="s">
        <v>56</v>
      </c>
      <c r="F39">
        <f t="shared" si="0"/>
        <v>0</v>
      </c>
      <c r="G39" t="b">
        <f t="shared" si="1"/>
        <v>0</v>
      </c>
      <c r="H39">
        <f t="shared" si="2"/>
        <v>0</v>
      </c>
      <c r="I39" t="b">
        <f t="shared" si="3"/>
        <v>0</v>
      </c>
      <c r="J39">
        <f t="shared" si="4"/>
        <v>0</v>
      </c>
      <c r="K39">
        <f t="shared" si="5"/>
        <v>0</v>
      </c>
    </row>
    <row r="40" spans="1:11" x14ac:dyDescent="0.2">
      <c r="A40">
        <v>39</v>
      </c>
      <c r="B40" t="s">
        <v>35</v>
      </c>
      <c r="D40">
        <v>8.9</v>
      </c>
      <c r="E40" t="s">
        <v>56</v>
      </c>
      <c r="F40">
        <f t="shared" si="0"/>
        <v>0</v>
      </c>
      <c r="G40" t="b">
        <f t="shared" si="1"/>
        <v>0</v>
      </c>
      <c r="H40">
        <f t="shared" si="2"/>
        <v>0</v>
      </c>
      <c r="I40" t="b">
        <f t="shared" si="3"/>
        <v>0</v>
      </c>
      <c r="J40">
        <f t="shared" si="4"/>
        <v>0</v>
      </c>
      <c r="K40">
        <f t="shared" si="5"/>
        <v>0</v>
      </c>
    </row>
    <row r="41" spans="1:11" x14ac:dyDescent="0.2">
      <c r="A41">
        <v>40</v>
      </c>
      <c r="B41" t="s">
        <v>2</v>
      </c>
      <c r="D41">
        <v>22.8</v>
      </c>
      <c r="E41" t="s">
        <v>104</v>
      </c>
      <c r="F41">
        <f t="shared" si="0"/>
        <v>1</v>
      </c>
      <c r="G41" t="b">
        <f t="shared" si="1"/>
        <v>0</v>
      </c>
      <c r="H41">
        <f t="shared" si="2"/>
        <v>0</v>
      </c>
      <c r="I41" t="b">
        <f t="shared" si="3"/>
        <v>0</v>
      </c>
      <c r="J41">
        <f t="shared" si="4"/>
        <v>0</v>
      </c>
      <c r="K41">
        <f t="shared" si="5"/>
        <v>0</v>
      </c>
    </row>
    <row r="42" spans="1:11" x14ac:dyDescent="0.2">
      <c r="A42">
        <v>41</v>
      </c>
      <c r="B42" t="s">
        <v>7</v>
      </c>
      <c r="D42">
        <v>15.7</v>
      </c>
      <c r="E42" t="s">
        <v>104</v>
      </c>
      <c r="F42">
        <f t="shared" si="0"/>
        <v>1</v>
      </c>
      <c r="G42" t="b">
        <f t="shared" si="1"/>
        <v>0</v>
      </c>
      <c r="H42">
        <f t="shared" si="2"/>
        <v>0</v>
      </c>
      <c r="I42" t="b">
        <f t="shared" si="3"/>
        <v>0</v>
      </c>
      <c r="J42">
        <f t="shared" si="4"/>
        <v>0</v>
      </c>
      <c r="K42">
        <f t="shared" si="5"/>
        <v>0</v>
      </c>
    </row>
    <row r="43" spans="1:11" x14ac:dyDescent="0.2">
      <c r="A43">
        <v>42</v>
      </c>
      <c r="B43" t="s">
        <v>26</v>
      </c>
      <c r="D43">
        <v>14.7</v>
      </c>
      <c r="E43" t="s">
        <v>104</v>
      </c>
      <c r="F43">
        <f t="shared" si="0"/>
        <v>1</v>
      </c>
      <c r="G43" t="b">
        <f t="shared" si="1"/>
        <v>0</v>
      </c>
      <c r="H43">
        <f t="shared" si="2"/>
        <v>0</v>
      </c>
      <c r="I43" t="b">
        <f t="shared" si="3"/>
        <v>0</v>
      </c>
      <c r="J43">
        <f t="shared" si="4"/>
        <v>0</v>
      </c>
      <c r="K43">
        <f t="shared" si="5"/>
        <v>0</v>
      </c>
    </row>
    <row r="44" spans="1:11" x14ac:dyDescent="0.2">
      <c r="A44">
        <v>43</v>
      </c>
      <c r="B44" t="s">
        <v>30</v>
      </c>
      <c r="D44">
        <v>7.8</v>
      </c>
      <c r="E44" t="s">
        <v>104</v>
      </c>
      <c r="F44">
        <f t="shared" si="0"/>
        <v>0</v>
      </c>
      <c r="G44" t="b">
        <f t="shared" si="1"/>
        <v>0</v>
      </c>
      <c r="H44">
        <f t="shared" si="2"/>
        <v>0</v>
      </c>
      <c r="I44" t="b">
        <f t="shared" si="3"/>
        <v>0</v>
      </c>
      <c r="J44">
        <f t="shared" si="4"/>
        <v>0</v>
      </c>
      <c r="K44">
        <f t="shared" si="5"/>
        <v>0</v>
      </c>
    </row>
    <row r="45" spans="1:11" x14ac:dyDescent="0.2">
      <c r="A45">
        <v>44</v>
      </c>
      <c r="B45" t="s">
        <v>36</v>
      </c>
      <c r="D45">
        <v>9.1</v>
      </c>
      <c r="E45" t="s">
        <v>104</v>
      </c>
      <c r="F45">
        <f t="shared" si="0"/>
        <v>0</v>
      </c>
      <c r="G45" t="b">
        <f t="shared" si="1"/>
        <v>0</v>
      </c>
      <c r="H45">
        <f t="shared" si="2"/>
        <v>0</v>
      </c>
      <c r="I45" t="b">
        <f t="shared" si="3"/>
        <v>0</v>
      </c>
      <c r="J45">
        <f t="shared" si="4"/>
        <v>0</v>
      </c>
      <c r="K45">
        <f t="shared" si="5"/>
        <v>0</v>
      </c>
    </row>
    <row r="46" spans="1:11" x14ac:dyDescent="0.2">
      <c r="A46">
        <v>45</v>
      </c>
      <c r="B46" t="s">
        <v>37</v>
      </c>
      <c r="D46">
        <v>7.8</v>
      </c>
      <c r="E46" t="s">
        <v>104</v>
      </c>
      <c r="F46">
        <f t="shared" si="0"/>
        <v>0</v>
      </c>
      <c r="G46" t="b">
        <f t="shared" si="1"/>
        <v>0</v>
      </c>
      <c r="H46">
        <f t="shared" si="2"/>
        <v>0</v>
      </c>
      <c r="I46" t="b">
        <f t="shared" si="3"/>
        <v>0</v>
      </c>
      <c r="J46">
        <f t="shared" si="4"/>
        <v>0</v>
      </c>
      <c r="K46">
        <f t="shared" si="5"/>
        <v>0</v>
      </c>
    </row>
    <row r="47" spans="1:11" x14ac:dyDescent="0.2">
      <c r="A47">
        <v>46</v>
      </c>
      <c r="B47" t="s">
        <v>39</v>
      </c>
      <c r="D47">
        <v>6.8</v>
      </c>
      <c r="E47" t="s">
        <v>104</v>
      </c>
      <c r="F47">
        <f t="shared" si="0"/>
        <v>0</v>
      </c>
      <c r="G47" t="b">
        <f t="shared" si="1"/>
        <v>0</v>
      </c>
      <c r="H47">
        <f t="shared" si="2"/>
        <v>0</v>
      </c>
      <c r="I47" t="b">
        <f t="shared" si="3"/>
        <v>0</v>
      </c>
      <c r="J47">
        <f t="shared" si="4"/>
        <v>0</v>
      </c>
      <c r="K47">
        <f t="shared" si="5"/>
        <v>0</v>
      </c>
    </row>
    <row r="48" spans="1:11" x14ac:dyDescent="0.2">
      <c r="A48">
        <v>47</v>
      </c>
      <c r="B48" t="s">
        <v>40</v>
      </c>
      <c r="D48">
        <v>10.8</v>
      </c>
      <c r="E48" t="s">
        <v>104</v>
      </c>
      <c r="F48">
        <f t="shared" si="0"/>
        <v>0</v>
      </c>
      <c r="G48" t="b">
        <f t="shared" si="1"/>
        <v>0</v>
      </c>
      <c r="H48">
        <f t="shared" si="2"/>
        <v>0</v>
      </c>
      <c r="I48" t="b">
        <f t="shared" si="3"/>
        <v>0</v>
      </c>
      <c r="J48">
        <f t="shared" si="4"/>
        <v>0</v>
      </c>
      <c r="K48">
        <f t="shared" si="5"/>
        <v>0</v>
      </c>
    </row>
    <row r="49" spans="1:11" x14ac:dyDescent="0.2">
      <c r="A49">
        <v>48</v>
      </c>
      <c r="B49" t="s">
        <v>42</v>
      </c>
      <c r="D49">
        <v>11.3</v>
      </c>
      <c r="E49" t="s">
        <v>104</v>
      </c>
      <c r="F49">
        <f t="shared" si="0"/>
        <v>0</v>
      </c>
      <c r="G49" t="b">
        <f t="shared" si="1"/>
        <v>0</v>
      </c>
      <c r="H49">
        <f t="shared" si="2"/>
        <v>0</v>
      </c>
      <c r="I49" t="b">
        <f t="shared" si="3"/>
        <v>0</v>
      </c>
      <c r="J49">
        <f t="shared" si="4"/>
        <v>0</v>
      </c>
      <c r="K49">
        <f t="shared" si="5"/>
        <v>0</v>
      </c>
    </row>
    <row r="50" spans="1:11" x14ac:dyDescent="0.2">
      <c r="A50">
        <v>49</v>
      </c>
      <c r="B50" t="s">
        <v>43</v>
      </c>
      <c r="D50">
        <v>23.1</v>
      </c>
      <c r="E50" t="s">
        <v>104</v>
      </c>
      <c r="F50">
        <f t="shared" si="0"/>
        <v>1</v>
      </c>
      <c r="G50" t="b">
        <f t="shared" si="1"/>
        <v>0</v>
      </c>
      <c r="H50">
        <f t="shared" si="2"/>
        <v>0</v>
      </c>
      <c r="I50" t="b">
        <f t="shared" si="3"/>
        <v>0</v>
      </c>
      <c r="J50">
        <f t="shared" si="4"/>
        <v>0</v>
      </c>
      <c r="K50">
        <f t="shared" si="5"/>
        <v>0</v>
      </c>
    </row>
    <row r="51" spans="1:11" x14ac:dyDescent="0.2">
      <c r="A51">
        <v>50</v>
      </c>
      <c r="B51" t="s">
        <v>46</v>
      </c>
      <c r="D51">
        <v>14.6</v>
      </c>
      <c r="E51" t="s">
        <v>104</v>
      </c>
      <c r="F51">
        <f t="shared" si="0"/>
        <v>1</v>
      </c>
      <c r="G51" t="b">
        <f t="shared" si="1"/>
        <v>0</v>
      </c>
      <c r="H51">
        <f t="shared" si="2"/>
        <v>0</v>
      </c>
      <c r="I51" t="b">
        <f t="shared" si="3"/>
        <v>0</v>
      </c>
      <c r="J51">
        <f t="shared" si="4"/>
        <v>0</v>
      </c>
      <c r="K51">
        <f t="shared" si="5"/>
        <v>0</v>
      </c>
    </row>
    <row r="52" spans="1:11" x14ac:dyDescent="0.2">
      <c r="A52">
        <v>51</v>
      </c>
      <c r="B52" t="s">
        <v>50</v>
      </c>
      <c r="D52">
        <v>15.5</v>
      </c>
      <c r="E52" t="s">
        <v>104</v>
      </c>
      <c r="F52">
        <f t="shared" si="0"/>
        <v>1</v>
      </c>
      <c r="G52" t="b">
        <f t="shared" si="1"/>
        <v>0</v>
      </c>
      <c r="H52">
        <f t="shared" si="2"/>
        <v>0</v>
      </c>
      <c r="I52" t="b">
        <f t="shared" si="3"/>
        <v>0</v>
      </c>
      <c r="J52">
        <f t="shared" si="4"/>
        <v>0</v>
      </c>
      <c r="K52">
        <f t="shared" si="5"/>
        <v>0</v>
      </c>
    </row>
    <row r="53" spans="1:11" x14ac:dyDescent="0.2">
      <c r="A53">
        <v>52</v>
      </c>
      <c r="B53" t="s">
        <v>61</v>
      </c>
      <c r="D53">
        <v>3.1</v>
      </c>
      <c r="E53" t="s">
        <v>104</v>
      </c>
      <c r="F53">
        <f t="shared" si="0"/>
        <v>0</v>
      </c>
      <c r="G53" t="b">
        <f t="shared" si="1"/>
        <v>0</v>
      </c>
      <c r="H53">
        <f t="shared" si="2"/>
        <v>0</v>
      </c>
      <c r="I53" t="b">
        <f t="shared" si="3"/>
        <v>0</v>
      </c>
      <c r="J53">
        <f t="shared" si="4"/>
        <v>0</v>
      </c>
      <c r="K53">
        <f t="shared" si="5"/>
        <v>0</v>
      </c>
    </row>
    <row r="54" spans="1:11" x14ac:dyDescent="0.2">
      <c r="A54">
        <v>53</v>
      </c>
      <c r="B54" t="s">
        <v>62</v>
      </c>
      <c r="D54">
        <v>15.9</v>
      </c>
      <c r="E54" t="s">
        <v>104</v>
      </c>
      <c r="F54">
        <f t="shared" si="0"/>
        <v>1</v>
      </c>
      <c r="G54" t="b">
        <f t="shared" si="1"/>
        <v>0</v>
      </c>
      <c r="H54">
        <f t="shared" si="2"/>
        <v>0</v>
      </c>
      <c r="I54" t="b">
        <f t="shared" si="3"/>
        <v>0</v>
      </c>
      <c r="J54">
        <f t="shared" si="4"/>
        <v>0</v>
      </c>
      <c r="K54">
        <f t="shared" si="5"/>
        <v>0</v>
      </c>
    </row>
    <row r="55" spans="1:11" x14ac:dyDescent="0.2">
      <c r="A55">
        <v>54</v>
      </c>
      <c r="B55" t="s">
        <v>63</v>
      </c>
      <c r="D55">
        <v>9.5</v>
      </c>
      <c r="E55" t="s">
        <v>104</v>
      </c>
      <c r="F55">
        <f t="shared" si="0"/>
        <v>0</v>
      </c>
      <c r="G55" t="b">
        <f t="shared" si="1"/>
        <v>0</v>
      </c>
      <c r="H55">
        <f t="shared" si="2"/>
        <v>0</v>
      </c>
      <c r="I55" t="b">
        <f t="shared" si="3"/>
        <v>0</v>
      </c>
      <c r="J55">
        <f t="shared" si="4"/>
        <v>0</v>
      </c>
      <c r="K55">
        <f t="shared" si="5"/>
        <v>0</v>
      </c>
    </row>
    <row r="56" spans="1:11" x14ac:dyDescent="0.2">
      <c r="A56">
        <v>55</v>
      </c>
      <c r="B56" t="s">
        <v>66</v>
      </c>
      <c r="D56">
        <v>13.3</v>
      </c>
      <c r="E56" t="s">
        <v>104</v>
      </c>
      <c r="F56">
        <f t="shared" si="0"/>
        <v>1</v>
      </c>
      <c r="G56" t="b">
        <f t="shared" si="1"/>
        <v>0</v>
      </c>
      <c r="H56">
        <f t="shared" si="2"/>
        <v>0</v>
      </c>
      <c r="I56" t="b">
        <f t="shared" si="3"/>
        <v>0</v>
      </c>
      <c r="J56">
        <f t="shared" si="4"/>
        <v>0</v>
      </c>
      <c r="K56">
        <f t="shared" si="5"/>
        <v>0</v>
      </c>
    </row>
    <row r="57" spans="1:11" x14ac:dyDescent="0.2">
      <c r="A57">
        <v>56</v>
      </c>
      <c r="B57" t="s">
        <v>69</v>
      </c>
      <c r="D57">
        <v>13</v>
      </c>
      <c r="E57" t="s">
        <v>104</v>
      </c>
      <c r="F57">
        <f t="shared" si="0"/>
        <v>1</v>
      </c>
      <c r="G57" t="b">
        <f t="shared" si="1"/>
        <v>0</v>
      </c>
      <c r="H57">
        <f t="shared" si="2"/>
        <v>0</v>
      </c>
      <c r="I57" t="b">
        <f t="shared" si="3"/>
        <v>0</v>
      </c>
      <c r="J57">
        <f t="shared" si="4"/>
        <v>0</v>
      </c>
      <c r="K57">
        <f t="shared" si="5"/>
        <v>0</v>
      </c>
    </row>
    <row r="58" spans="1:11" x14ac:dyDescent="0.2">
      <c r="A58">
        <v>57</v>
      </c>
      <c r="B58" t="s">
        <v>72</v>
      </c>
      <c r="D58">
        <v>3.7</v>
      </c>
      <c r="E58" t="s">
        <v>104</v>
      </c>
      <c r="F58">
        <f t="shared" si="0"/>
        <v>0</v>
      </c>
      <c r="G58" t="b">
        <f t="shared" si="1"/>
        <v>0</v>
      </c>
      <c r="H58">
        <f t="shared" si="2"/>
        <v>0</v>
      </c>
      <c r="I58" t="b">
        <f t="shared" si="3"/>
        <v>0</v>
      </c>
      <c r="J58">
        <f t="shared" si="4"/>
        <v>0</v>
      </c>
      <c r="K58">
        <f t="shared" si="5"/>
        <v>0</v>
      </c>
    </row>
    <row r="59" spans="1:11" x14ac:dyDescent="0.2">
      <c r="A59">
        <v>58</v>
      </c>
      <c r="B59" t="s">
        <v>76</v>
      </c>
      <c r="D59">
        <v>11.7</v>
      </c>
      <c r="E59" t="s">
        <v>104</v>
      </c>
      <c r="F59">
        <f t="shared" si="0"/>
        <v>1</v>
      </c>
      <c r="G59" t="b">
        <f t="shared" si="1"/>
        <v>0</v>
      </c>
      <c r="H59">
        <f t="shared" si="2"/>
        <v>0</v>
      </c>
      <c r="I59" t="b">
        <f t="shared" si="3"/>
        <v>0</v>
      </c>
      <c r="J59">
        <f t="shared" si="4"/>
        <v>0</v>
      </c>
      <c r="K59">
        <f t="shared" si="5"/>
        <v>0</v>
      </c>
    </row>
    <row r="60" spans="1:11" x14ac:dyDescent="0.2">
      <c r="A60">
        <v>59</v>
      </c>
      <c r="B60" t="s">
        <v>78</v>
      </c>
      <c r="D60">
        <v>5</v>
      </c>
      <c r="E60" t="s">
        <v>104</v>
      </c>
      <c r="F60">
        <f t="shared" si="0"/>
        <v>0</v>
      </c>
      <c r="G60" t="b">
        <f t="shared" si="1"/>
        <v>0</v>
      </c>
      <c r="H60">
        <f t="shared" si="2"/>
        <v>0</v>
      </c>
      <c r="I60" t="b">
        <f t="shared" si="3"/>
        <v>0</v>
      </c>
      <c r="J60">
        <f t="shared" si="4"/>
        <v>0</v>
      </c>
      <c r="K60">
        <f t="shared" si="5"/>
        <v>0</v>
      </c>
    </row>
    <row r="61" spans="1:11" x14ac:dyDescent="0.2">
      <c r="A61">
        <v>60</v>
      </c>
      <c r="B61" t="s">
        <v>79</v>
      </c>
      <c r="D61">
        <v>4.2</v>
      </c>
      <c r="E61" t="s">
        <v>104</v>
      </c>
      <c r="F61">
        <f t="shared" si="0"/>
        <v>0</v>
      </c>
      <c r="G61" t="b">
        <f t="shared" si="1"/>
        <v>0</v>
      </c>
      <c r="H61">
        <f t="shared" si="2"/>
        <v>0</v>
      </c>
      <c r="I61" t="b">
        <f t="shared" si="3"/>
        <v>0</v>
      </c>
      <c r="J61">
        <f t="shared" si="4"/>
        <v>0</v>
      </c>
      <c r="K61">
        <f t="shared" si="5"/>
        <v>0</v>
      </c>
    </row>
    <row r="62" spans="1:11" x14ac:dyDescent="0.2">
      <c r="E62" t="s">
        <v>120</v>
      </c>
      <c r="F62">
        <f>SUM(F2:F61)</f>
        <v>28</v>
      </c>
      <c r="G62" t="s">
        <v>120</v>
      </c>
      <c r="H62">
        <f>SUM(H2:H61)</f>
        <v>18</v>
      </c>
      <c r="I62" t="s">
        <v>120</v>
      </c>
      <c r="J62">
        <f>SUM(J2:J61)</f>
        <v>17</v>
      </c>
      <c r="K62">
        <f>SUM(K2:K61)</f>
        <v>31</v>
      </c>
    </row>
    <row r="63" spans="1:11" x14ac:dyDescent="0.2">
      <c r="G63" s="7"/>
    </row>
  </sheetData>
  <sortState ref="A1:E61">
    <sortCondition ref="E1:E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J7" sqref="J7"/>
    </sheetView>
  </sheetViews>
  <sheetFormatPr baseColWidth="10" defaultRowHeight="16" x14ac:dyDescent="0.2"/>
  <sheetData>
    <row r="1" spans="1:11" x14ac:dyDescent="0.2">
      <c r="A1" t="s">
        <v>21</v>
      </c>
      <c r="B1" t="s">
        <v>52</v>
      </c>
      <c r="C1" t="s">
        <v>21</v>
      </c>
      <c r="D1" t="s">
        <v>131</v>
      </c>
      <c r="G1" t="s">
        <v>53</v>
      </c>
      <c r="H1" t="s">
        <v>104</v>
      </c>
      <c r="J1" t="s">
        <v>133</v>
      </c>
      <c r="K1">
        <v>0</v>
      </c>
    </row>
    <row r="2" spans="1:11" x14ac:dyDescent="0.2">
      <c r="A2">
        <v>27.6</v>
      </c>
      <c r="B2" t="s">
        <v>53</v>
      </c>
      <c r="C2">
        <v>15.9</v>
      </c>
      <c r="D2" t="s">
        <v>104</v>
      </c>
      <c r="F2" t="s">
        <v>81</v>
      </c>
      <c r="G2">
        <f>COUNT(A2:A40)</f>
        <v>39</v>
      </c>
      <c r="H2">
        <f>COUNT(C2:C22)</f>
        <v>21</v>
      </c>
      <c r="J2" t="s">
        <v>134</v>
      </c>
      <c r="K2">
        <v>0</v>
      </c>
    </row>
    <row r="3" spans="1:11" x14ac:dyDescent="0.2">
      <c r="A3">
        <v>22.8</v>
      </c>
      <c r="B3" t="s">
        <v>53</v>
      </c>
      <c r="C3">
        <v>10.7</v>
      </c>
      <c r="D3" t="s">
        <v>104</v>
      </c>
      <c r="F3" t="s">
        <v>105</v>
      </c>
      <c r="G3">
        <f>AVERAGE(A:A)</f>
        <v>12.961538461538463</v>
      </c>
      <c r="H3">
        <f>AVERAGE(C:C)</f>
        <v>9.328571428571431</v>
      </c>
    </row>
    <row r="4" spans="1:11" x14ac:dyDescent="0.2">
      <c r="A4">
        <v>22.8</v>
      </c>
      <c r="B4" t="s">
        <v>53</v>
      </c>
      <c r="C4">
        <v>8.1</v>
      </c>
      <c r="D4" t="s">
        <v>104</v>
      </c>
      <c r="F4" t="s">
        <v>101</v>
      </c>
      <c r="G4">
        <f>_xlfn.STDEV.S(A:A)</f>
        <v>5.5013689867836479</v>
      </c>
      <c r="H4">
        <f>_xlfn.STDEV.S(C:C)</f>
        <v>4.080336120608548</v>
      </c>
      <c r="J4" t="s">
        <v>108</v>
      </c>
      <c r="K4">
        <v>0.05</v>
      </c>
    </row>
    <row r="5" spans="1:11" x14ac:dyDescent="0.2">
      <c r="A5">
        <v>23.1</v>
      </c>
      <c r="B5" t="s">
        <v>53</v>
      </c>
      <c r="C5">
        <v>4.8</v>
      </c>
      <c r="D5" t="s">
        <v>104</v>
      </c>
      <c r="F5" t="s">
        <v>106</v>
      </c>
      <c r="G5">
        <f>G4/SQRT(G2)</f>
        <v>0.88092405925422834</v>
      </c>
      <c r="H5">
        <f>H4/SQRT(H2)</f>
        <v>0.89040233969291116</v>
      </c>
      <c r="J5" t="s">
        <v>109</v>
      </c>
      <c r="K5">
        <f>MIN(G2,H2)-1</f>
        <v>20</v>
      </c>
    </row>
    <row r="6" spans="1:11" x14ac:dyDescent="0.2">
      <c r="A6">
        <v>18.399999999999999</v>
      </c>
      <c r="B6" t="s">
        <v>53</v>
      </c>
      <c r="C6">
        <v>8</v>
      </c>
      <c r="D6" t="s">
        <v>104</v>
      </c>
    </row>
    <row r="7" spans="1:11" x14ac:dyDescent="0.2">
      <c r="A7">
        <v>18.5</v>
      </c>
      <c r="B7" t="s">
        <v>53</v>
      </c>
      <c r="C7">
        <v>3.7</v>
      </c>
      <c r="D7" t="s">
        <v>104</v>
      </c>
      <c r="F7" t="s">
        <v>132</v>
      </c>
      <c r="G7">
        <f>G3-H3</f>
        <v>3.6329670329670325</v>
      </c>
    </row>
    <row r="8" spans="1:11" x14ac:dyDescent="0.2">
      <c r="A8">
        <v>9.3000000000000007</v>
      </c>
      <c r="B8" t="s">
        <v>53</v>
      </c>
      <c r="C8">
        <v>10.4</v>
      </c>
      <c r="D8" t="s">
        <v>104</v>
      </c>
      <c r="F8" t="s">
        <v>126</v>
      </c>
      <c r="G8">
        <f>SQRT(G5^2+H5^2)</f>
        <v>1.2525348397164677</v>
      </c>
    </row>
    <row r="9" spans="1:11" x14ac:dyDescent="0.2">
      <c r="A9">
        <v>15.7</v>
      </c>
      <c r="B9" t="s">
        <v>53</v>
      </c>
      <c r="C9">
        <v>11.7</v>
      </c>
      <c r="D9" t="s">
        <v>104</v>
      </c>
    </row>
    <row r="10" spans="1:11" x14ac:dyDescent="0.2">
      <c r="A10">
        <v>12.3</v>
      </c>
      <c r="B10" t="s">
        <v>53</v>
      </c>
      <c r="C10">
        <v>6.9</v>
      </c>
      <c r="D10" t="s">
        <v>104</v>
      </c>
      <c r="F10" t="s">
        <v>107</v>
      </c>
      <c r="G10">
        <f>STANDARDIZE(G7,K1,G8)</f>
        <v>2.9004918009222127</v>
      </c>
    </row>
    <row r="11" spans="1:11" x14ac:dyDescent="0.2">
      <c r="A11">
        <v>15</v>
      </c>
      <c r="B11" t="s">
        <v>53</v>
      </c>
      <c r="C11">
        <v>5</v>
      </c>
      <c r="D11" t="s">
        <v>104</v>
      </c>
      <c r="F11" t="s">
        <v>129</v>
      </c>
      <c r="G11">
        <f>_xlfn.T.DIST.2T(G10,K5)</f>
        <v>8.8443071482525101E-3</v>
      </c>
    </row>
    <row r="12" spans="1:11" x14ac:dyDescent="0.2">
      <c r="A12">
        <v>6.2</v>
      </c>
      <c r="B12" t="s">
        <v>53</v>
      </c>
      <c r="C12">
        <v>4.2</v>
      </c>
      <c r="D12" t="s">
        <v>104</v>
      </c>
    </row>
    <row r="13" spans="1:11" x14ac:dyDescent="0.2">
      <c r="A13">
        <v>13</v>
      </c>
      <c r="B13" t="s">
        <v>53</v>
      </c>
      <c r="C13">
        <v>16</v>
      </c>
      <c r="D13" t="s">
        <v>104</v>
      </c>
      <c r="F13" t="s">
        <v>130</v>
      </c>
      <c r="G13" t="str">
        <f>IF(G11&lt;K4,"reject H_0","fail to reject H_0")</f>
        <v>reject H_0</v>
      </c>
    </row>
    <row r="14" spans="1:11" x14ac:dyDescent="0.2">
      <c r="A14">
        <v>4.3</v>
      </c>
      <c r="B14" t="s">
        <v>53</v>
      </c>
      <c r="C14">
        <v>3.1</v>
      </c>
      <c r="D14" t="s">
        <v>104</v>
      </c>
    </row>
    <row r="15" spans="1:11" x14ac:dyDescent="0.2">
      <c r="A15">
        <v>14.2</v>
      </c>
      <c r="B15" t="s">
        <v>53</v>
      </c>
      <c r="C15">
        <v>9.5</v>
      </c>
      <c r="D15" t="s">
        <v>104</v>
      </c>
    </row>
    <row r="16" spans="1:11" x14ac:dyDescent="0.2">
      <c r="A16">
        <v>14.7</v>
      </c>
      <c r="B16" t="s">
        <v>53</v>
      </c>
      <c r="C16">
        <v>13.9</v>
      </c>
      <c r="D16" t="s">
        <v>104</v>
      </c>
    </row>
    <row r="17" spans="1:4" x14ac:dyDescent="0.2">
      <c r="A17">
        <v>14.2</v>
      </c>
      <c r="B17" t="s">
        <v>53</v>
      </c>
      <c r="C17">
        <v>13</v>
      </c>
      <c r="D17" t="s">
        <v>104</v>
      </c>
    </row>
    <row r="18" spans="1:4" x14ac:dyDescent="0.2">
      <c r="A18">
        <v>11.1</v>
      </c>
      <c r="B18" t="s">
        <v>53</v>
      </c>
      <c r="C18">
        <v>13.3</v>
      </c>
      <c r="D18" t="s">
        <v>104</v>
      </c>
    </row>
    <row r="19" spans="1:4" x14ac:dyDescent="0.2">
      <c r="A19">
        <v>12.4</v>
      </c>
      <c r="B19" t="s">
        <v>53</v>
      </c>
      <c r="C19">
        <v>13</v>
      </c>
      <c r="D19" t="s">
        <v>104</v>
      </c>
    </row>
    <row r="20" spans="1:4" x14ac:dyDescent="0.2">
      <c r="A20">
        <v>7.8</v>
      </c>
      <c r="B20" t="s">
        <v>53</v>
      </c>
      <c r="C20">
        <v>10.9</v>
      </c>
      <c r="D20" t="s">
        <v>104</v>
      </c>
    </row>
    <row r="21" spans="1:4" x14ac:dyDescent="0.2">
      <c r="A21">
        <v>7.4</v>
      </c>
      <c r="B21" t="s">
        <v>53</v>
      </c>
      <c r="C21">
        <v>9.5</v>
      </c>
      <c r="D21" t="s">
        <v>104</v>
      </c>
    </row>
    <row r="22" spans="1:4" x14ac:dyDescent="0.2">
      <c r="A22">
        <v>12.2</v>
      </c>
      <c r="B22" t="s">
        <v>53</v>
      </c>
      <c r="C22">
        <v>4.3</v>
      </c>
      <c r="D22" t="s">
        <v>104</v>
      </c>
    </row>
    <row r="23" spans="1:4" x14ac:dyDescent="0.2">
      <c r="A23">
        <v>11.6</v>
      </c>
      <c r="B23" t="s">
        <v>53</v>
      </c>
    </row>
    <row r="24" spans="1:4" x14ac:dyDescent="0.2">
      <c r="A24">
        <v>7.4</v>
      </c>
      <c r="B24" t="s">
        <v>53</v>
      </c>
    </row>
    <row r="25" spans="1:4" x14ac:dyDescent="0.2">
      <c r="A25">
        <v>8.9</v>
      </c>
      <c r="B25" t="s">
        <v>53</v>
      </c>
    </row>
    <row r="26" spans="1:4" x14ac:dyDescent="0.2">
      <c r="A26">
        <v>9.1</v>
      </c>
      <c r="B26" t="s">
        <v>53</v>
      </c>
    </row>
    <row r="27" spans="1:4" x14ac:dyDescent="0.2">
      <c r="A27">
        <v>7.8</v>
      </c>
      <c r="B27" t="s">
        <v>53</v>
      </c>
    </row>
    <row r="28" spans="1:4" x14ac:dyDescent="0.2">
      <c r="A28">
        <v>9.5</v>
      </c>
      <c r="B28" t="s">
        <v>53</v>
      </c>
    </row>
    <row r="29" spans="1:4" x14ac:dyDescent="0.2">
      <c r="A29">
        <v>6.8</v>
      </c>
      <c r="B29" t="s">
        <v>53</v>
      </c>
    </row>
    <row r="30" spans="1:4" x14ac:dyDescent="0.2">
      <c r="A30">
        <v>10.8</v>
      </c>
      <c r="B30" t="s">
        <v>53</v>
      </c>
    </row>
    <row r="31" spans="1:4" x14ac:dyDescent="0.2">
      <c r="A31">
        <v>3.4</v>
      </c>
      <c r="B31" t="s">
        <v>53</v>
      </c>
    </row>
    <row r="32" spans="1:4" x14ac:dyDescent="0.2">
      <c r="A32">
        <v>11.3</v>
      </c>
      <c r="B32" t="s">
        <v>53</v>
      </c>
    </row>
    <row r="33" spans="1:2" x14ac:dyDescent="0.2">
      <c r="A33">
        <v>23.1</v>
      </c>
      <c r="B33" t="s">
        <v>56</v>
      </c>
    </row>
    <row r="34" spans="1:2" x14ac:dyDescent="0.2">
      <c r="A34">
        <v>14.6</v>
      </c>
      <c r="B34" t="s">
        <v>56</v>
      </c>
    </row>
    <row r="35" spans="1:2" x14ac:dyDescent="0.2">
      <c r="A35">
        <v>11.6</v>
      </c>
      <c r="B35" t="s">
        <v>56</v>
      </c>
    </row>
    <row r="36" spans="1:2" x14ac:dyDescent="0.2">
      <c r="A36">
        <v>14.6</v>
      </c>
      <c r="B36" t="s">
        <v>56</v>
      </c>
    </row>
    <row r="37" spans="1:2" x14ac:dyDescent="0.2">
      <c r="A37">
        <v>13.7</v>
      </c>
      <c r="B37" t="s">
        <v>56</v>
      </c>
    </row>
    <row r="38" spans="1:2" x14ac:dyDescent="0.2">
      <c r="A38">
        <v>12.7</v>
      </c>
      <c r="B38" t="s">
        <v>56</v>
      </c>
    </row>
    <row r="39" spans="1:2" x14ac:dyDescent="0.2">
      <c r="A39">
        <v>10.1</v>
      </c>
      <c r="B39" t="s">
        <v>56</v>
      </c>
    </row>
    <row r="40" spans="1:2" x14ac:dyDescent="0.2">
      <c r="A40">
        <v>15.5</v>
      </c>
      <c r="B40" t="s">
        <v>56</v>
      </c>
    </row>
  </sheetData>
  <sortState ref="A1:B61">
    <sortCondition ref="B1:B6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H16" sqref="H16"/>
    </sheetView>
  </sheetViews>
  <sheetFormatPr baseColWidth="10" defaultRowHeight="16" x14ac:dyDescent="0.2"/>
  <cols>
    <col min="1" max="1" width="19.33203125" customWidth="1"/>
    <col min="5" max="5" width="12" customWidth="1"/>
  </cols>
  <sheetData>
    <row r="1" spans="1:18" x14ac:dyDescent="0.2">
      <c r="A1" t="s">
        <v>139</v>
      </c>
      <c r="B1" t="s">
        <v>52</v>
      </c>
      <c r="G1" t="s">
        <v>53</v>
      </c>
      <c r="H1" t="s">
        <v>143</v>
      </c>
      <c r="I1" t="s">
        <v>144</v>
      </c>
      <c r="J1" t="s">
        <v>146</v>
      </c>
      <c r="K1" t="s">
        <v>115</v>
      </c>
    </row>
    <row r="2" spans="1:18" x14ac:dyDescent="0.2">
      <c r="A2" t="s">
        <v>137</v>
      </c>
      <c r="B2" t="s">
        <v>53</v>
      </c>
      <c r="F2" t="s">
        <v>141</v>
      </c>
      <c r="G2">
        <v>11</v>
      </c>
      <c r="H2">
        <v>4</v>
      </c>
      <c r="I2">
        <v>1</v>
      </c>
      <c r="J2">
        <v>0</v>
      </c>
    </row>
    <row r="3" spans="1:18" x14ac:dyDescent="0.2">
      <c r="A3" t="s">
        <v>138</v>
      </c>
      <c r="B3" t="s">
        <v>53</v>
      </c>
      <c r="F3" t="s">
        <v>142</v>
      </c>
      <c r="G3">
        <v>20</v>
      </c>
      <c r="H3">
        <v>7</v>
      </c>
      <c r="I3">
        <v>7</v>
      </c>
      <c r="J3">
        <v>0</v>
      </c>
    </row>
    <row r="4" spans="1:18" x14ac:dyDescent="0.2">
      <c r="A4" t="s">
        <v>140</v>
      </c>
      <c r="B4" t="s">
        <v>54</v>
      </c>
      <c r="F4" t="s">
        <v>145</v>
      </c>
      <c r="G4">
        <v>8</v>
      </c>
      <c r="H4">
        <v>0</v>
      </c>
      <c r="I4">
        <v>1</v>
      </c>
      <c r="J4">
        <v>1</v>
      </c>
    </row>
    <row r="5" spans="1:18" x14ac:dyDescent="0.2">
      <c r="A5" t="s">
        <v>137</v>
      </c>
      <c r="B5" t="s">
        <v>53</v>
      </c>
      <c r="F5" t="s">
        <v>115</v>
      </c>
      <c r="G5">
        <f>G2+G3+G4</f>
        <v>39</v>
      </c>
    </row>
    <row r="6" spans="1:18" x14ac:dyDescent="0.2">
      <c r="A6" t="s">
        <v>138</v>
      </c>
      <c r="B6" t="s">
        <v>53</v>
      </c>
    </row>
    <row r="7" spans="1:18" x14ac:dyDescent="0.2">
      <c r="A7" t="s">
        <v>137</v>
      </c>
      <c r="B7" t="s">
        <v>53</v>
      </c>
      <c r="F7" t="s">
        <v>147</v>
      </c>
      <c r="G7" t="s">
        <v>138</v>
      </c>
      <c r="H7" t="s">
        <v>104</v>
      </c>
      <c r="I7" t="s">
        <v>115</v>
      </c>
      <c r="L7" t="s">
        <v>150</v>
      </c>
      <c r="M7" t="s">
        <v>138</v>
      </c>
      <c r="N7" t="s">
        <v>104</v>
      </c>
      <c r="O7" t="s">
        <v>115</v>
      </c>
      <c r="Q7" t="s">
        <v>154</v>
      </c>
      <c r="R7" t="s">
        <v>156</v>
      </c>
    </row>
    <row r="8" spans="1:18" x14ac:dyDescent="0.2">
      <c r="A8" t="s">
        <v>140</v>
      </c>
      <c r="B8" t="s">
        <v>53</v>
      </c>
      <c r="F8" t="s">
        <v>158</v>
      </c>
      <c r="G8">
        <f>20</f>
        <v>20</v>
      </c>
      <c r="H8">
        <v>19</v>
      </c>
      <c r="I8">
        <f>SUM(G8:H8)</f>
        <v>39</v>
      </c>
      <c r="L8" t="s">
        <v>158</v>
      </c>
      <c r="M8">
        <f>G$10*I$8/$I$10</f>
        <v>16.25</v>
      </c>
      <c r="N8">
        <f>H$10*$I8/$I$10</f>
        <v>22.75</v>
      </c>
      <c r="O8">
        <f>I$10*$I8/$I$10</f>
        <v>39</v>
      </c>
      <c r="Q8" t="s">
        <v>155</v>
      </c>
      <c r="R8" t="s">
        <v>157</v>
      </c>
    </row>
    <row r="9" spans="1:18" x14ac:dyDescent="0.2">
      <c r="A9" t="s">
        <v>138</v>
      </c>
      <c r="B9" t="s">
        <v>55</v>
      </c>
      <c r="F9" t="s">
        <v>146</v>
      </c>
      <c r="G9">
        <v>5</v>
      </c>
      <c r="H9">
        <f>16</f>
        <v>16</v>
      </c>
      <c r="I9">
        <f>SUM(G9,H9)</f>
        <v>21</v>
      </c>
      <c r="L9" t="s">
        <v>146</v>
      </c>
      <c r="M9">
        <f>G$10*$I9/$I$10</f>
        <v>8.75</v>
      </c>
      <c r="N9">
        <f>H$10*$I9/$I$10</f>
        <v>12.25</v>
      </c>
      <c r="O9">
        <f>I$10*$I9/$I$10</f>
        <v>21</v>
      </c>
    </row>
    <row r="10" spans="1:18" x14ac:dyDescent="0.2">
      <c r="A10" t="s">
        <v>137</v>
      </c>
      <c r="B10" t="s">
        <v>56</v>
      </c>
      <c r="F10" t="s">
        <v>115</v>
      </c>
      <c r="G10">
        <f>SUM(G8,G9)</f>
        <v>25</v>
      </c>
      <c r="H10">
        <f>SUM(H8,H9)</f>
        <v>35</v>
      </c>
      <c r="I10">
        <f>SUM(I8,I9)</f>
        <v>60</v>
      </c>
      <c r="L10" t="s">
        <v>115</v>
      </c>
      <c r="M10">
        <f>G$10*$I10/$I$10</f>
        <v>25</v>
      </c>
      <c r="N10">
        <f>H$10*$I10/$I$10</f>
        <v>35</v>
      </c>
      <c r="O10">
        <f>I$10*$I10/$I$10</f>
        <v>60</v>
      </c>
    </row>
    <row r="11" spans="1:18" x14ac:dyDescent="0.2">
      <c r="A11" t="s">
        <v>138</v>
      </c>
      <c r="B11" t="s">
        <v>56</v>
      </c>
    </row>
    <row r="12" spans="1:18" x14ac:dyDescent="0.2">
      <c r="A12" t="s">
        <v>138</v>
      </c>
      <c r="B12" t="s">
        <v>56</v>
      </c>
    </row>
    <row r="13" spans="1:18" x14ac:dyDescent="0.2">
      <c r="A13" t="s">
        <v>140</v>
      </c>
      <c r="B13" t="s">
        <v>56</v>
      </c>
      <c r="F13" t="s">
        <v>148</v>
      </c>
      <c r="G13" t="s">
        <v>138</v>
      </c>
      <c r="H13" t="s">
        <v>104</v>
      </c>
      <c r="I13" t="s">
        <v>115</v>
      </c>
      <c r="L13" t="s">
        <v>151</v>
      </c>
      <c r="M13" t="s">
        <v>138</v>
      </c>
      <c r="N13" t="s">
        <v>104</v>
      </c>
      <c r="O13" t="s">
        <v>115</v>
      </c>
    </row>
    <row r="14" spans="1:18" x14ac:dyDescent="0.2">
      <c r="A14" t="s">
        <v>140</v>
      </c>
      <c r="B14" t="s">
        <v>53</v>
      </c>
      <c r="F14" t="s">
        <v>158</v>
      </c>
      <c r="G14">
        <f>G8/$I8</f>
        <v>0.51282051282051277</v>
      </c>
      <c r="H14">
        <f>H8/$I8</f>
        <v>0.48717948717948717</v>
      </c>
      <c r="I14">
        <f>I8/$I8</f>
        <v>1</v>
      </c>
      <c r="L14" t="s">
        <v>158</v>
      </c>
      <c r="M14">
        <f>G8-M8</f>
        <v>3.75</v>
      </c>
      <c r="N14">
        <f>H8-N8</f>
        <v>-3.75</v>
      </c>
      <c r="O14">
        <f>I8-O8</f>
        <v>0</v>
      </c>
    </row>
    <row r="15" spans="1:18" x14ac:dyDescent="0.2">
      <c r="A15" t="s">
        <v>140</v>
      </c>
      <c r="B15" t="s">
        <v>53</v>
      </c>
      <c r="F15" t="s">
        <v>146</v>
      </c>
      <c r="G15">
        <f>G9/$I9</f>
        <v>0.23809523809523808</v>
      </c>
      <c r="H15">
        <f>H9/$I9</f>
        <v>0.76190476190476186</v>
      </c>
      <c r="I15">
        <f>I9/$I9</f>
        <v>1</v>
      </c>
      <c r="L15" t="s">
        <v>146</v>
      </c>
      <c r="M15">
        <f>G9-M9</f>
        <v>-3.75</v>
      </c>
      <c r="N15">
        <f>H9-N9</f>
        <v>3.75</v>
      </c>
      <c r="O15">
        <f>I9-O9</f>
        <v>0</v>
      </c>
    </row>
    <row r="16" spans="1:18" x14ac:dyDescent="0.2">
      <c r="A16" t="s">
        <v>138</v>
      </c>
      <c r="B16" t="s">
        <v>55</v>
      </c>
      <c r="F16" t="s">
        <v>115</v>
      </c>
      <c r="G16">
        <f>G10/$I10</f>
        <v>0.41666666666666669</v>
      </c>
      <c r="H16">
        <f>H10/$I10</f>
        <v>0.58333333333333337</v>
      </c>
      <c r="I16">
        <f>I10/$I10</f>
        <v>1</v>
      </c>
      <c r="L16" t="s">
        <v>115</v>
      </c>
      <c r="M16">
        <f>G10-M10</f>
        <v>0</v>
      </c>
      <c r="N16">
        <f>H10-N10</f>
        <v>0</v>
      </c>
      <c r="O16">
        <f>I10-O10</f>
        <v>0</v>
      </c>
    </row>
    <row r="17" spans="1:15" x14ac:dyDescent="0.2">
      <c r="A17" t="s">
        <v>138</v>
      </c>
      <c r="B17" t="s">
        <v>53</v>
      </c>
    </row>
    <row r="18" spans="1:15" x14ac:dyDescent="0.2">
      <c r="A18" t="s">
        <v>137</v>
      </c>
      <c r="B18" t="s">
        <v>53</v>
      </c>
    </row>
    <row r="19" spans="1:15" x14ac:dyDescent="0.2">
      <c r="A19" t="s">
        <v>138</v>
      </c>
      <c r="B19" t="s">
        <v>53</v>
      </c>
      <c r="F19" t="s">
        <v>149</v>
      </c>
      <c r="G19" t="s">
        <v>138</v>
      </c>
      <c r="H19" t="s">
        <v>104</v>
      </c>
      <c r="I19" t="s">
        <v>115</v>
      </c>
      <c r="L19" t="s">
        <v>152</v>
      </c>
      <c r="M19" t="s">
        <v>138</v>
      </c>
      <c r="N19" t="s">
        <v>104</v>
      </c>
      <c r="O19" t="s">
        <v>115</v>
      </c>
    </row>
    <row r="20" spans="1:15" x14ac:dyDescent="0.2">
      <c r="A20" t="s">
        <v>137</v>
      </c>
      <c r="B20" t="s">
        <v>57</v>
      </c>
      <c r="F20" t="s">
        <v>158</v>
      </c>
      <c r="G20">
        <f>G8/G$10</f>
        <v>0.8</v>
      </c>
      <c r="H20">
        <f>H8/H$10</f>
        <v>0.54285714285714282</v>
      </c>
      <c r="I20">
        <f>I8/I$10</f>
        <v>0.65</v>
      </c>
      <c r="L20" t="s">
        <v>158</v>
      </c>
      <c r="M20">
        <f>(M14^2)/M8</f>
        <v>0.86538461538461542</v>
      </c>
      <c r="N20">
        <f>(N14^2)/N8</f>
        <v>0.61813186813186816</v>
      </c>
      <c r="O20">
        <f>(O14^2)/O8</f>
        <v>0</v>
      </c>
    </row>
    <row r="21" spans="1:15" x14ac:dyDescent="0.2">
      <c r="A21" t="s">
        <v>138</v>
      </c>
      <c r="B21" t="s">
        <v>53</v>
      </c>
      <c r="F21" t="s">
        <v>146</v>
      </c>
      <c r="G21">
        <f>G9/G$10</f>
        <v>0.2</v>
      </c>
      <c r="H21">
        <f>H9/H$10</f>
        <v>0.45714285714285713</v>
      </c>
      <c r="I21">
        <f>I9/I$10</f>
        <v>0.35</v>
      </c>
      <c r="L21" t="s">
        <v>146</v>
      </c>
      <c r="M21">
        <f>(M15^2)/M9</f>
        <v>1.6071428571428572</v>
      </c>
      <c r="N21">
        <f>(N15^2/N9)</f>
        <v>1.1479591836734695</v>
      </c>
      <c r="O21">
        <f>(O15^2)/O9</f>
        <v>0</v>
      </c>
    </row>
    <row r="22" spans="1:15" x14ac:dyDescent="0.2">
      <c r="A22" t="s">
        <v>140</v>
      </c>
      <c r="B22" t="s">
        <v>56</v>
      </c>
      <c r="F22" t="s">
        <v>115</v>
      </c>
      <c r="G22">
        <f>G10/G$10</f>
        <v>1</v>
      </c>
      <c r="H22">
        <f>H10/H$10</f>
        <v>1</v>
      </c>
      <c r="I22">
        <f>I10/I$10</f>
        <v>1</v>
      </c>
      <c r="L22" t="s">
        <v>115</v>
      </c>
      <c r="M22">
        <f>(M16^2)/M10</f>
        <v>0</v>
      </c>
      <c r="N22">
        <f>(N16^2)/N10</f>
        <v>0</v>
      </c>
      <c r="O22">
        <f>(O16^2)/O10</f>
        <v>0</v>
      </c>
    </row>
    <row r="23" spans="1:15" x14ac:dyDescent="0.2">
      <c r="A23" t="s">
        <v>140</v>
      </c>
      <c r="B23" t="s">
        <v>56</v>
      </c>
    </row>
    <row r="24" spans="1:15" x14ac:dyDescent="0.2">
      <c r="A24" t="s">
        <v>138</v>
      </c>
      <c r="B24" t="s">
        <v>56</v>
      </c>
      <c r="L24" t="s">
        <v>153</v>
      </c>
      <c r="M24">
        <f>SUM(M20:N21)</f>
        <v>4.2386185243328107</v>
      </c>
    </row>
    <row r="25" spans="1:15" x14ac:dyDescent="0.2">
      <c r="A25" t="s">
        <v>137</v>
      </c>
      <c r="B25" t="s">
        <v>56</v>
      </c>
      <c r="F25" t="s">
        <v>115</v>
      </c>
      <c r="G25" t="s">
        <v>138</v>
      </c>
      <c r="H25" t="s">
        <v>104</v>
      </c>
      <c r="I25" t="s">
        <v>115</v>
      </c>
    </row>
    <row r="26" spans="1:15" x14ac:dyDescent="0.2">
      <c r="A26" t="s">
        <v>138</v>
      </c>
      <c r="B26" t="s">
        <v>55</v>
      </c>
      <c r="F26" t="s">
        <v>142</v>
      </c>
      <c r="G26">
        <f>G8/$I$10</f>
        <v>0.33333333333333331</v>
      </c>
      <c r="H26">
        <f>H8/$I$10</f>
        <v>0.31666666666666665</v>
      </c>
      <c r="I26">
        <f>G26+H26</f>
        <v>0.64999999999999991</v>
      </c>
      <c r="L26" t="s">
        <v>129</v>
      </c>
      <c r="M26">
        <f>_xlfn.CHISQ.DIST.RT(M24,1)</f>
        <v>3.9514307439835895E-2</v>
      </c>
    </row>
    <row r="27" spans="1:15" x14ac:dyDescent="0.2">
      <c r="A27" t="s">
        <v>137</v>
      </c>
      <c r="B27" t="s">
        <v>55</v>
      </c>
      <c r="F27" t="s">
        <v>146</v>
      </c>
      <c r="G27">
        <f t="shared" ref="G27:G29" si="0">G9/$I$10</f>
        <v>8.3333333333333329E-2</v>
      </c>
      <c r="H27">
        <f>H9/$I$10</f>
        <v>0.26666666666666666</v>
      </c>
      <c r="I27">
        <f>I9/I10</f>
        <v>0.35</v>
      </c>
      <c r="L27" t="s">
        <v>111</v>
      </c>
      <c r="M27">
        <f>_xlfn.CHISQ.TEST(G8:H9,M8:N9)</f>
        <v>3.9514307439835895E-2</v>
      </c>
    </row>
    <row r="28" spans="1:15" x14ac:dyDescent="0.2">
      <c r="A28" t="s">
        <v>138</v>
      </c>
      <c r="B28" t="s">
        <v>53</v>
      </c>
      <c r="F28" t="s">
        <v>115</v>
      </c>
      <c r="G28">
        <f>G10/$I$10</f>
        <v>0.41666666666666669</v>
      </c>
      <c r="H28">
        <f>H16/$I$16</f>
        <v>0.58333333333333337</v>
      </c>
      <c r="I28">
        <f>G28+H28</f>
        <v>1</v>
      </c>
    </row>
    <row r="29" spans="1:15" x14ac:dyDescent="0.2">
      <c r="A29" t="s">
        <v>138</v>
      </c>
      <c r="B29" t="s">
        <v>55</v>
      </c>
      <c r="L29" t="s">
        <v>108</v>
      </c>
      <c r="M29">
        <v>0.05</v>
      </c>
    </row>
    <row r="30" spans="1:15" x14ac:dyDescent="0.2">
      <c r="A30" t="s">
        <v>138</v>
      </c>
      <c r="B30" t="s">
        <v>55</v>
      </c>
    </row>
    <row r="31" spans="1:15" x14ac:dyDescent="0.2">
      <c r="A31" t="s">
        <v>138</v>
      </c>
      <c r="B31" t="s">
        <v>53</v>
      </c>
      <c r="L31" t="s">
        <v>130</v>
      </c>
      <c r="M31" t="str">
        <f>IF(M26&lt;M29,"reject","fail to reject")</f>
        <v>reject</v>
      </c>
    </row>
    <row r="32" spans="1:15" x14ac:dyDescent="0.2">
      <c r="A32" t="s">
        <v>138</v>
      </c>
      <c r="B32" t="s">
        <v>57</v>
      </c>
    </row>
    <row r="33" spans="1:2" x14ac:dyDescent="0.2">
      <c r="A33" t="s">
        <v>138</v>
      </c>
      <c r="B33" t="s">
        <v>57</v>
      </c>
    </row>
    <row r="34" spans="1:2" x14ac:dyDescent="0.2">
      <c r="A34" t="s">
        <v>137</v>
      </c>
      <c r="B34" t="s">
        <v>53</v>
      </c>
    </row>
    <row r="35" spans="1:2" x14ac:dyDescent="0.2">
      <c r="A35" t="s">
        <v>137</v>
      </c>
      <c r="B35" t="s">
        <v>53</v>
      </c>
    </row>
    <row r="36" spans="1:2" x14ac:dyDescent="0.2">
      <c r="A36" t="s">
        <v>140</v>
      </c>
      <c r="B36" t="s">
        <v>55</v>
      </c>
    </row>
    <row r="37" spans="1:2" x14ac:dyDescent="0.2">
      <c r="A37" t="s">
        <v>138</v>
      </c>
      <c r="B37" t="s">
        <v>53</v>
      </c>
    </row>
    <row r="38" spans="1:2" x14ac:dyDescent="0.2">
      <c r="A38" t="s">
        <v>138</v>
      </c>
      <c r="B38" t="s">
        <v>53</v>
      </c>
    </row>
    <row r="39" spans="1:2" x14ac:dyDescent="0.2">
      <c r="A39" t="s">
        <v>138</v>
      </c>
      <c r="B39" t="s">
        <v>53</v>
      </c>
    </row>
    <row r="40" spans="1:2" x14ac:dyDescent="0.2">
      <c r="A40" t="s">
        <v>137</v>
      </c>
      <c r="B40" t="s">
        <v>57</v>
      </c>
    </row>
    <row r="41" spans="1:2" x14ac:dyDescent="0.2">
      <c r="A41" t="s">
        <v>137</v>
      </c>
      <c r="B41" t="s">
        <v>53</v>
      </c>
    </row>
    <row r="42" spans="1:2" x14ac:dyDescent="0.2">
      <c r="A42" t="s">
        <v>137</v>
      </c>
      <c r="B42" t="s">
        <v>53</v>
      </c>
    </row>
    <row r="43" spans="1:2" x14ac:dyDescent="0.2">
      <c r="A43" t="s">
        <v>137</v>
      </c>
      <c r="B43" t="s">
        <v>57</v>
      </c>
    </row>
    <row r="44" spans="1:2" x14ac:dyDescent="0.2">
      <c r="A44" t="s">
        <v>138</v>
      </c>
      <c r="B44" t="s">
        <v>57</v>
      </c>
    </row>
    <row r="45" spans="1:2" x14ac:dyDescent="0.2">
      <c r="A45" t="s">
        <v>137</v>
      </c>
      <c r="B45" t="s">
        <v>57</v>
      </c>
    </row>
    <row r="46" spans="1:2" x14ac:dyDescent="0.2">
      <c r="A46" t="s">
        <v>138</v>
      </c>
      <c r="B46" t="s">
        <v>53</v>
      </c>
    </row>
    <row r="47" spans="1:2" x14ac:dyDescent="0.2">
      <c r="A47" t="s">
        <v>137</v>
      </c>
      <c r="B47" t="s">
        <v>53</v>
      </c>
    </row>
    <row r="48" spans="1:2" x14ac:dyDescent="0.2">
      <c r="A48" t="s">
        <v>138</v>
      </c>
      <c r="B48" t="s">
        <v>55</v>
      </c>
    </row>
    <row r="49" spans="1:2" x14ac:dyDescent="0.2">
      <c r="A49" t="s">
        <v>138</v>
      </c>
      <c r="B49" t="s">
        <v>53</v>
      </c>
    </row>
    <row r="50" spans="1:2" x14ac:dyDescent="0.2">
      <c r="A50" t="s">
        <v>138</v>
      </c>
      <c r="B50" t="s">
        <v>53</v>
      </c>
    </row>
    <row r="51" spans="1:2" x14ac:dyDescent="0.2">
      <c r="A51" t="s">
        <v>138</v>
      </c>
      <c r="B51" t="s">
        <v>55</v>
      </c>
    </row>
    <row r="52" spans="1:2" x14ac:dyDescent="0.2">
      <c r="A52" t="s">
        <v>138</v>
      </c>
      <c r="B52" t="s">
        <v>53</v>
      </c>
    </row>
    <row r="53" spans="1:2" x14ac:dyDescent="0.2">
      <c r="A53" t="s">
        <v>140</v>
      </c>
      <c r="B53" t="s">
        <v>53</v>
      </c>
    </row>
    <row r="54" spans="1:2" x14ac:dyDescent="0.2">
      <c r="A54" t="s">
        <v>138</v>
      </c>
      <c r="B54" t="s">
        <v>57</v>
      </c>
    </row>
    <row r="55" spans="1:2" x14ac:dyDescent="0.2">
      <c r="A55" t="s">
        <v>138</v>
      </c>
      <c r="B55" t="s">
        <v>53</v>
      </c>
    </row>
    <row r="56" spans="1:2" x14ac:dyDescent="0.2">
      <c r="A56" t="s">
        <v>138</v>
      </c>
      <c r="B56" t="s">
        <v>53</v>
      </c>
    </row>
    <row r="57" spans="1:2" x14ac:dyDescent="0.2">
      <c r="A57" t="s">
        <v>140</v>
      </c>
      <c r="B57" t="s">
        <v>53</v>
      </c>
    </row>
    <row r="58" spans="1:2" x14ac:dyDescent="0.2">
      <c r="A58" t="s">
        <v>138</v>
      </c>
      <c r="B58" t="s">
        <v>57</v>
      </c>
    </row>
    <row r="59" spans="1:2" x14ac:dyDescent="0.2">
      <c r="A59" t="s">
        <v>138</v>
      </c>
      <c r="B59" t="s">
        <v>53</v>
      </c>
    </row>
    <row r="60" spans="1:2" x14ac:dyDescent="0.2">
      <c r="A60" t="s">
        <v>138</v>
      </c>
      <c r="B60" t="s">
        <v>57</v>
      </c>
    </row>
    <row r="61" spans="1:2" x14ac:dyDescent="0.2">
      <c r="A61" t="s">
        <v>138</v>
      </c>
      <c r="B6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2016-05-18T04:20:47Z</dcterms:created>
  <dcterms:modified xsi:type="dcterms:W3CDTF">2016-06-07T19:20:16Z</dcterms:modified>
</cp:coreProperties>
</file>