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hivery\Desktop\language\little's law_2\"/>
    </mc:Choice>
  </mc:AlternateContent>
  <xr:revisionPtr revIDLastSave="0" documentId="13_ncr:1_{36E9E608-9F11-4298-8E65-17708A2633DE}" xr6:coauthVersionLast="47" xr6:coauthVersionMax="47" xr10:uidLastSave="{00000000-0000-0000-0000-000000000000}"/>
  <bookViews>
    <workbookView xWindow="-110" yWindow="-110" windowWidth="19420" windowHeight="10420" firstSheet="2" activeTab="4" xr2:uid="{5A5B97F9-E828-4520-8DFF-39BA708DE283}"/>
  </bookViews>
  <sheets>
    <sheet name="view" sheetId="3" r:id="rId1"/>
    <sheet name="rough" sheetId="2" r:id="rId2"/>
    <sheet name="final" sheetId="4" r:id="rId3"/>
    <sheet name="converation" sheetId="5" r:id="rId4"/>
    <sheet name="js_to bedone" sheetId="6" r:id="rId5"/>
    <sheet name="database_to be don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4" l="1"/>
  <c r="F34" i="4"/>
  <c r="B36" i="4" s="1"/>
  <c r="B34" i="4"/>
  <c r="K19" i="4"/>
  <c r="G8" i="4"/>
  <c r="I7" i="4"/>
  <c r="B7" i="4"/>
  <c r="J34" i="4"/>
  <c r="E34" i="4"/>
  <c r="C34" i="4"/>
  <c r="D34" i="4"/>
  <c r="F17" i="4"/>
  <c r="G17" i="4"/>
  <c r="C17" i="4"/>
  <c r="D17" i="4"/>
  <c r="B18" i="4" s="1"/>
  <c r="E17" i="4"/>
  <c r="B17" i="4"/>
  <c r="C7" i="4"/>
  <c r="D7" i="4"/>
  <c r="E7" i="4"/>
  <c r="F7" i="4"/>
  <c r="K68" i="2"/>
  <c r="K65" i="2"/>
  <c r="K64" i="2"/>
  <c r="K63" i="2"/>
  <c r="K62" i="2"/>
  <c r="B60" i="2"/>
  <c r="G63" i="2"/>
  <c r="H63" i="2"/>
  <c r="F63" i="2"/>
  <c r="F61" i="2"/>
  <c r="H62" i="2"/>
  <c r="G62" i="2"/>
  <c r="F62" i="2"/>
  <c r="H59" i="2"/>
  <c r="G59" i="2"/>
  <c r="C60" i="2"/>
  <c r="D60" i="2"/>
  <c r="E60" i="2"/>
  <c r="F56" i="2"/>
  <c r="C19" i="2"/>
  <c r="E19" i="2" s="1"/>
  <c r="C20" i="2"/>
  <c r="G20" i="2" s="1"/>
  <c r="C21" i="2"/>
  <c r="G21" i="2" s="1"/>
  <c r="F44" i="2"/>
  <c r="E44" i="2"/>
  <c r="D44" i="2"/>
  <c r="C44" i="2"/>
  <c r="B44" i="2"/>
  <c r="F41" i="2"/>
  <c r="E41" i="2"/>
  <c r="D41" i="2"/>
  <c r="C41" i="2"/>
  <c r="B41" i="2"/>
  <c r="F32" i="2"/>
  <c r="E32" i="2"/>
  <c r="D32" i="2"/>
  <c r="C32" i="2"/>
  <c r="B32" i="2"/>
  <c r="C29" i="2"/>
  <c r="D29" i="2"/>
  <c r="E29" i="2"/>
  <c r="F29" i="2"/>
  <c r="B29" i="2"/>
  <c r="G27" i="2"/>
  <c r="H27" i="2" s="1"/>
  <c r="G11" i="2"/>
  <c r="N11" i="2" s="1"/>
  <c r="N10" i="2"/>
  <c r="N25" i="2" s="1"/>
  <c r="Y14" i="2"/>
  <c r="X14" i="2"/>
  <c r="W14" i="2"/>
  <c r="V14" i="2"/>
  <c r="AA14" i="2"/>
  <c r="AG13" i="2"/>
  <c r="AG14" i="2"/>
  <c r="AG15" i="2"/>
  <c r="AG12" i="2"/>
  <c r="AA13" i="2"/>
  <c r="AA12" i="2"/>
  <c r="B19" i="4" l="1"/>
  <c r="K16" i="4" s="1"/>
  <c r="K18" i="4" s="1"/>
  <c r="K17" i="4"/>
  <c r="B8" i="4"/>
  <c r="B9" i="4" s="1"/>
  <c r="J35" i="4"/>
  <c r="J36" i="4" s="1"/>
  <c r="L37" i="4" s="1"/>
  <c r="J37" i="4" s="1"/>
  <c r="E20" i="2"/>
  <c r="I20" i="2" s="1"/>
  <c r="E21" i="2"/>
  <c r="I21" i="2" s="1"/>
  <c r="G19" i="2"/>
  <c r="I19" i="2" s="1"/>
  <c r="K29" i="2"/>
  <c r="K26" i="2"/>
  <c r="K27" i="2" s="1"/>
  <c r="K28" i="2" s="1"/>
  <c r="K30" i="2" s="1"/>
  <c r="K38" i="2"/>
  <c r="K39" i="2" s="1"/>
  <c r="K40" i="2" s="1"/>
  <c r="K41" i="2"/>
  <c r="X15" i="2"/>
  <c r="W15" i="2"/>
  <c r="O13" i="2"/>
  <c r="O14" i="2" s="1"/>
  <c r="O17" i="2" s="1"/>
  <c r="O16" i="2" s="1"/>
  <c r="V15" i="2"/>
  <c r="Y15" i="2"/>
  <c r="N12" i="2"/>
  <c r="L36" i="4" l="1"/>
  <c r="K20" i="4"/>
  <c r="I5" i="4"/>
  <c r="I6" i="4" s="1"/>
  <c r="K44" i="2"/>
  <c r="N26" i="2"/>
  <c r="N27" i="2" s="1"/>
  <c r="I8" i="4" l="1"/>
</calcChain>
</file>

<file path=xl/sharedStrings.xml><?xml version="1.0" encoding="utf-8"?>
<sst xmlns="http://schemas.openxmlformats.org/spreadsheetml/2006/main" count="302" uniqueCount="202">
  <si>
    <t>You have planning to start your own fast food  restaurant GreenChillies. Initially the company is planning to start with 2 varieties of burger veg &amp; non-veg burger. The process flow is as follows for making the burger with time as: (B1=Veg burger, type I, B2=veg burger type=2, B3=Nonveg burger type=III ……..)</t>
  </si>
  <si>
    <t>Burger type</t>
  </si>
  <si>
    <t>B1</t>
  </si>
  <si>
    <t>B2</t>
  </si>
  <si>
    <t>Step I</t>
  </si>
  <si>
    <t>Step II</t>
  </si>
  <si>
    <t>Step III</t>
  </si>
  <si>
    <t>Step IV</t>
  </si>
  <si>
    <t>Littlet's Law</t>
  </si>
  <si>
    <t>I</t>
  </si>
  <si>
    <t>RT</t>
  </si>
  <si>
    <t>Veg</t>
  </si>
  <si>
    <t>Order Arrival Rate</t>
  </si>
  <si>
    <t>I=RT</t>
  </si>
  <si>
    <t>Total time</t>
  </si>
  <si>
    <t>orders/hr</t>
  </si>
  <si>
    <t>avg inventory</t>
  </si>
  <si>
    <t>rate of arrival * time spent (processing time)</t>
  </si>
  <si>
    <t>My calculation</t>
  </si>
  <si>
    <t>M1</t>
  </si>
  <si>
    <t>M2</t>
  </si>
  <si>
    <t>M3</t>
  </si>
  <si>
    <t>M4</t>
  </si>
  <si>
    <t>M5</t>
  </si>
  <si>
    <t>Step V(cheese/ chicken addition process)</t>
  </si>
  <si>
    <t>Rest all steps same for them</t>
  </si>
  <si>
    <t>Order expected</t>
  </si>
  <si>
    <t>space hiring from serviceiability point of view</t>
  </si>
  <si>
    <t>for three weeks all the above plannig - weekly , staffs hiring and space management</t>
  </si>
  <si>
    <t>Auto one to one mapping of M/C with person</t>
  </si>
  <si>
    <t>manual</t>
  </si>
  <si>
    <t>Machine</t>
  </si>
  <si>
    <t>Qty purchased</t>
  </si>
  <si>
    <t>Budget</t>
  </si>
  <si>
    <t>CP</t>
  </si>
  <si>
    <t>daily</t>
  </si>
  <si>
    <t>Machines required</t>
  </si>
  <si>
    <t>Max with one possible in one hr</t>
  </si>
  <si>
    <t>Monthly Planning</t>
  </si>
  <si>
    <t>SP</t>
  </si>
  <si>
    <t xml:space="preserve">Operational hours </t>
  </si>
  <si>
    <t>hrs</t>
  </si>
  <si>
    <t>Cost/Rent per week</t>
  </si>
  <si>
    <t>orders / min</t>
  </si>
  <si>
    <t>phi</t>
  </si>
  <si>
    <t xml:space="preserve">lamda(arrival rate) </t>
  </si>
  <si>
    <t>service rate (mu)</t>
  </si>
  <si>
    <t>utilisation factor to be less than 1  ( &lt;1)</t>
  </si>
  <si>
    <t>FR_1</t>
  </si>
  <si>
    <t>Week02</t>
  </si>
  <si>
    <t>Flavour addition at last stage</t>
  </si>
  <si>
    <t>(standardisation vs customization at last stage) ( in advance preparation)</t>
  </si>
  <si>
    <t>Cola Type</t>
  </si>
  <si>
    <t>Step V(flavour Addition)</t>
  </si>
  <si>
    <t>avg time in system</t>
  </si>
  <si>
    <t>avg customer/ order in system</t>
  </si>
  <si>
    <t>1/(mu - lamda)</t>
  </si>
  <si>
    <t>RT = order rate * avg time in system</t>
  </si>
  <si>
    <t>avg customer in queue</t>
  </si>
  <si>
    <t>lamda/mu * avg customer in system</t>
  </si>
  <si>
    <t>lambda * waiting time</t>
  </si>
  <si>
    <t>waiting time in queue</t>
  </si>
  <si>
    <t>min</t>
  </si>
  <si>
    <t xml:space="preserve">order </t>
  </si>
  <si>
    <t>enter count of mc</t>
  </si>
  <si>
    <t>effectie service time</t>
  </si>
  <si>
    <t>lamda</t>
  </si>
  <si>
    <t>mu</t>
  </si>
  <si>
    <t>order / min</t>
  </si>
  <si>
    <t>order /min</t>
  </si>
  <si>
    <t>Order served</t>
  </si>
  <si>
    <t>Max order served in hr</t>
  </si>
  <si>
    <t>Cost of renting machine</t>
  </si>
  <si>
    <t>Totat expense</t>
  </si>
  <si>
    <t xml:space="preserve">Revenue per order </t>
  </si>
  <si>
    <t>M/C expense per week</t>
  </si>
  <si>
    <t>max order that can be served</t>
  </si>
  <si>
    <t>Revenue per day</t>
  </si>
  <si>
    <t>Revenue for entire week</t>
  </si>
  <si>
    <t>Demand</t>
  </si>
  <si>
    <t>per hour</t>
  </si>
  <si>
    <t xml:space="preserve">Revenue </t>
  </si>
  <si>
    <t>per order</t>
  </si>
  <si>
    <t>Revenue per day(@ 6hr per day)</t>
  </si>
  <si>
    <t>6 days 6 working hour</t>
  </si>
  <si>
    <t>profit</t>
  </si>
  <si>
    <t>Profit</t>
  </si>
  <si>
    <t>FR_2</t>
  </si>
  <si>
    <t>Standardise</t>
  </si>
  <si>
    <t>Customize (last stage)</t>
  </si>
  <si>
    <t>FR_3</t>
  </si>
  <si>
    <t>Revenue per sku</t>
  </si>
  <si>
    <t>Material Management</t>
  </si>
  <si>
    <t>Ingi_1</t>
  </si>
  <si>
    <t>Ingi_2</t>
  </si>
  <si>
    <t>Ingi_3</t>
  </si>
  <si>
    <t>ordering cost</t>
  </si>
  <si>
    <t>purchase cost(rs per kg)</t>
  </si>
  <si>
    <t>weekly</t>
  </si>
  <si>
    <t>Materal purcahse Cost</t>
  </si>
  <si>
    <t>holding cost(at average)</t>
  </si>
  <si>
    <t>Cost</t>
  </si>
  <si>
    <t>Holding cost(per kg</t>
  </si>
  <si>
    <t>Jumbo sales to boost revenue</t>
  </si>
  <si>
    <t>Order anticipated</t>
  </si>
  <si>
    <t>FR_common</t>
  </si>
  <si>
    <t>Machine count</t>
  </si>
  <si>
    <t>Step 5</t>
  </si>
  <si>
    <t>Max order processed</t>
  </si>
  <si>
    <t>min from these as base product</t>
  </si>
  <si>
    <t>[2:1:2]</t>
  </si>
  <si>
    <t>2x+ x+2x = 60*machine rented</t>
  </si>
  <si>
    <t>time of production</t>
  </si>
  <si>
    <t>count produced</t>
  </si>
  <si>
    <t>min(min from (stepI to Step IV) , min(step5))</t>
  </si>
  <si>
    <t>Revenue per hr</t>
  </si>
  <si>
    <t xml:space="preserve"> subtract material expense</t>
  </si>
  <si>
    <t xml:space="preserve">mering of steps : purchase of machine </t>
  </si>
  <si>
    <t>Introduction to game</t>
  </si>
  <si>
    <t>Content</t>
  </si>
  <si>
    <t>User Input</t>
  </si>
  <si>
    <t>Performance Tab</t>
  </si>
  <si>
    <t>WK1</t>
  </si>
  <si>
    <t>Order Served</t>
  </si>
  <si>
    <t>Revenue</t>
  </si>
  <si>
    <t>Expense</t>
  </si>
  <si>
    <t>Wk2</t>
  </si>
  <si>
    <t>Wk3</t>
  </si>
  <si>
    <t>Wk4</t>
  </si>
  <si>
    <t>for 4 weeks</t>
  </si>
  <si>
    <t>Game01</t>
  </si>
  <si>
    <t>Game2</t>
  </si>
  <si>
    <t>Game 3</t>
  </si>
  <si>
    <t>min of all steps</t>
  </si>
  <si>
    <t>Machine requested</t>
  </si>
  <si>
    <t>Machine Requested</t>
  </si>
  <si>
    <t>Input</t>
  </si>
  <si>
    <t>step I</t>
  </si>
  <si>
    <t>Step 2</t>
  </si>
  <si>
    <t xml:space="preserve">Step 5 </t>
  </si>
  <si>
    <t>Combo Machine</t>
  </si>
  <si>
    <t>by user</t>
  </si>
  <si>
    <t>Game 1</t>
  </si>
  <si>
    <t>SKU</t>
  </si>
  <si>
    <t>DC_1</t>
  </si>
  <si>
    <t>Machine input</t>
  </si>
  <si>
    <t>Cost of renting</t>
  </si>
  <si>
    <t>Max possible</t>
  </si>
  <si>
    <t>Order delivered</t>
  </si>
  <si>
    <t>Revenue per dorder</t>
  </si>
  <si>
    <t>Cost of renting(per day)</t>
  </si>
  <si>
    <t xml:space="preserve">6 X 6 </t>
  </si>
  <si>
    <t>days per hour per week</t>
  </si>
  <si>
    <t>Performance till now</t>
  </si>
  <si>
    <t>Game 2</t>
  </si>
  <si>
    <t>M(III &amp; IV)</t>
  </si>
  <si>
    <t>Max possibl</t>
  </si>
  <si>
    <t>SKUs</t>
  </si>
  <si>
    <t>DC_2</t>
  </si>
  <si>
    <t>DC_3</t>
  </si>
  <si>
    <t>Revenue/unit</t>
  </si>
  <si>
    <t>delayed differentiation</t>
  </si>
  <si>
    <t>demand</t>
  </si>
  <si>
    <t>Available time</t>
  </si>
  <si>
    <t>minutes</t>
  </si>
  <si>
    <t>Rent</t>
  </si>
  <si>
    <t>U1</t>
  </si>
  <si>
    <t>U2</t>
  </si>
  <si>
    <t xml:space="preserve">Hi! Congratulations for your startup!! </t>
  </si>
  <si>
    <t xml:space="preserve">Thanks!! </t>
  </si>
  <si>
    <t xml:space="preserve"> I am looking to have some real-life experience for supplychain planning. Let me know if there is any opportunity for this</t>
  </si>
  <si>
    <t xml:space="preserve">I think I have a perfect role for you. We are looking for process planning  for our startup. </t>
  </si>
  <si>
    <t>Let me know if you are comfortable to go ahead</t>
  </si>
  <si>
    <t>Sure! I would take this opportunity to have real experience for process planning. Thanks a lot for this opportunity</t>
  </si>
  <si>
    <t>I hope you will enjoy this a lot. Good luck!!</t>
  </si>
  <si>
    <t>Random order generated</t>
  </si>
  <si>
    <t>Revenue from selling</t>
  </si>
  <si>
    <t>Revenue by service level</t>
  </si>
  <si>
    <t>Service level</t>
  </si>
  <si>
    <t>random demand</t>
  </si>
  <si>
    <t>Revneue per unit</t>
  </si>
  <si>
    <t>service level</t>
  </si>
  <si>
    <t>revneue from selling</t>
  </si>
  <si>
    <t>revenue from service level</t>
  </si>
  <si>
    <t>expense</t>
  </si>
  <si>
    <t>order served</t>
  </si>
  <si>
    <t>DC_2 served</t>
  </si>
  <si>
    <t>DC_order placed</t>
  </si>
  <si>
    <t>DC_3 served</t>
  </si>
  <si>
    <t>username</t>
  </si>
  <si>
    <t>password</t>
  </si>
  <si>
    <t>cummulative revenue</t>
  </si>
  <si>
    <t>cumulative expense</t>
  </si>
  <si>
    <t>cumulative profit</t>
  </si>
  <si>
    <t>(i)</t>
  </si>
  <si>
    <t>no refresh, back , forward button</t>
  </si>
  <si>
    <t xml:space="preserve">(ii) </t>
  </si>
  <si>
    <t>time for 3 html files ( 45 min )</t>
  </si>
  <si>
    <t xml:space="preserve">(iii) </t>
  </si>
  <si>
    <t>database connection</t>
  </si>
  <si>
    <t>9iv</t>
  </si>
  <si>
    <t>login to be first page and after succesful authentican , land to video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</si>
</sst>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16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9E5-3363-4B56-B2C9-02BD440349BB}">
  <dimension ref="A1:L19"/>
  <sheetViews>
    <sheetView workbookViewId="0">
      <selection activeCell="N11" sqref="N11"/>
    </sheetView>
  </sheetViews>
  <sheetFormatPr defaultRowHeight="14.5" x14ac:dyDescent="0.35"/>
  <sheetData>
    <row r="1" spans="1:12" x14ac:dyDescent="0.35">
      <c r="A1" s="8"/>
      <c r="B1" s="9"/>
      <c r="C1" s="9"/>
      <c r="D1" s="9"/>
      <c r="E1" s="17" t="s">
        <v>118</v>
      </c>
      <c r="F1" s="17"/>
      <c r="G1" s="17"/>
      <c r="H1" s="17"/>
      <c r="I1" s="9"/>
      <c r="J1" s="9"/>
      <c r="K1" s="9"/>
      <c r="L1" s="10"/>
    </row>
    <row r="2" spans="1:12" x14ac:dyDescent="0.3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10"/>
    </row>
    <row r="3" spans="1:12" x14ac:dyDescent="0.35">
      <c r="A3" s="11"/>
      <c r="L3" s="12"/>
    </row>
    <row r="4" spans="1:12" x14ac:dyDescent="0.35">
      <c r="A4" s="11"/>
      <c r="L4" s="12"/>
    </row>
    <row r="5" spans="1:12" x14ac:dyDescent="0.35">
      <c r="A5" s="11"/>
      <c r="L5" s="12"/>
    </row>
    <row r="6" spans="1:12" x14ac:dyDescent="0.35">
      <c r="A6" s="11"/>
      <c r="L6" s="12"/>
    </row>
    <row r="7" spans="1:12" x14ac:dyDescent="0.35">
      <c r="A7" s="11"/>
      <c r="F7" t="s">
        <v>119</v>
      </c>
      <c r="L7" s="12"/>
    </row>
    <row r="8" spans="1:12" x14ac:dyDescent="0.35">
      <c r="A8" s="11"/>
      <c r="L8" s="12"/>
    </row>
    <row r="9" spans="1:12" x14ac:dyDescent="0.3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x14ac:dyDescent="0.35">
      <c r="A10" s="11"/>
      <c r="B10" s="8"/>
      <c r="C10" s="9"/>
      <c r="D10" s="9"/>
      <c r="E10" s="9"/>
      <c r="F10" s="9"/>
      <c r="G10" s="9"/>
      <c r="H10" s="9"/>
      <c r="I10" s="9"/>
      <c r="J10" s="9"/>
      <c r="K10" s="10"/>
      <c r="L10" s="12"/>
    </row>
    <row r="11" spans="1:12" x14ac:dyDescent="0.35">
      <c r="A11" s="11"/>
      <c r="B11" s="11"/>
      <c r="K11" s="12"/>
      <c r="L11" s="12"/>
    </row>
    <row r="12" spans="1:12" x14ac:dyDescent="0.35">
      <c r="A12" s="11"/>
      <c r="B12" s="13"/>
      <c r="C12" s="14"/>
      <c r="D12" s="14"/>
      <c r="E12" s="14"/>
      <c r="F12" s="14" t="s">
        <v>120</v>
      </c>
      <c r="G12" s="14"/>
      <c r="H12" s="14"/>
      <c r="I12" s="14"/>
      <c r="J12" s="14"/>
      <c r="K12" s="15"/>
      <c r="L12" s="12"/>
    </row>
    <row r="13" spans="1:12" x14ac:dyDescent="0.35">
      <c r="A13" s="11"/>
      <c r="L13" s="12"/>
    </row>
    <row r="14" spans="1:12" x14ac:dyDescent="0.35">
      <c r="A14" s="11"/>
      <c r="E14" s="18" t="s">
        <v>121</v>
      </c>
      <c r="F14" s="18"/>
      <c r="G14" s="18"/>
      <c r="H14" s="18"/>
      <c r="L14" s="12"/>
    </row>
    <row r="15" spans="1:12" x14ac:dyDescent="0.35">
      <c r="A15" s="8"/>
      <c r="B15" s="9" t="s">
        <v>122</v>
      </c>
      <c r="C15" s="9" t="s">
        <v>126</v>
      </c>
      <c r="D15" s="9" t="s">
        <v>127</v>
      </c>
      <c r="E15" s="10" t="s">
        <v>128</v>
      </c>
      <c r="F15" s="9"/>
      <c r="G15" s="10"/>
      <c r="H15" t="s">
        <v>153</v>
      </c>
      <c r="L15" s="12"/>
    </row>
    <row r="16" spans="1:12" x14ac:dyDescent="0.35">
      <c r="A16" s="11" t="s">
        <v>123</v>
      </c>
      <c r="E16" s="12"/>
      <c r="G16" s="12"/>
      <c r="I16" t="s">
        <v>124</v>
      </c>
      <c r="J16" t="s">
        <v>125</v>
      </c>
      <c r="K16" t="s">
        <v>86</v>
      </c>
      <c r="L16" s="12"/>
    </row>
    <row r="17" spans="1:12" x14ac:dyDescent="0.35">
      <c r="A17" s="13" t="s">
        <v>124</v>
      </c>
      <c r="B17" s="14"/>
      <c r="C17" s="14"/>
      <c r="D17" s="14"/>
      <c r="E17" s="15"/>
      <c r="F17" s="14"/>
      <c r="G17" s="15"/>
      <c r="H17" s="14"/>
      <c r="I17" s="14"/>
      <c r="J17" s="14"/>
      <c r="K17" s="14"/>
      <c r="L17" s="15"/>
    </row>
    <row r="18" spans="1:12" x14ac:dyDescent="0.35">
      <c r="A18" s="11" t="s">
        <v>125</v>
      </c>
      <c r="E18" s="12"/>
    </row>
    <row r="19" spans="1:12" x14ac:dyDescent="0.35">
      <c r="A19" s="13" t="s">
        <v>86</v>
      </c>
      <c r="B19" s="14"/>
      <c r="C19" s="14"/>
      <c r="D19" s="14"/>
      <c r="E19" s="15"/>
    </row>
  </sheetData>
  <mergeCells count="2">
    <mergeCell ref="E1:H1"/>
    <mergeCell ref="E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854E-4FFA-4C88-A56F-EDFE1A9B724A}">
  <dimension ref="A1:AG91"/>
  <sheetViews>
    <sheetView zoomScale="80" zoomScaleNormal="80" workbookViewId="0">
      <selection activeCell="C92" sqref="C92"/>
    </sheetView>
  </sheetViews>
  <sheetFormatPr defaultRowHeight="14.5" x14ac:dyDescent="0.35"/>
  <cols>
    <col min="1" max="1" width="19.6328125" customWidth="1"/>
    <col min="2" max="2" width="13.6328125" customWidth="1"/>
    <col min="3" max="3" width="13.90625" customWidth="1"/>
    <col min="4" max="4" width="12.08984375" customWidth="1"/>
    <col min="5" max="5" width="17.54296875" customWidth="1"/>
    <col min="6" max="6" width="20.08984375" customWidth="1"/>
    <col min="8" max="8" width="19.6328125" customWidth="1"/>
    <col min="10" max="10" width="19.6328125" customWidth="1"/>
    <col min="13" max="13" width="39.36328125" customWidth="1"/>
    <col min="14" max="14" width="19.453125" customWidth="1"/>
    <col min="15" max="15" width="35.453125" bestFit="1" customWidth="1"/>
    <col min="16" max="16" width="11.453125" customWidth="1"/>
    <col min="21" max="21" width="32.1796875" customWidth="1"/>
    <col min="26" max="26" width="34.7265625" bestFit="1" customWidth="1"/>
    <col min="27" max="27" width="13.54296875" bestFit="1" customWidth="1"/>
    <col min="28" max="28" width="12.36328125" bestFit="1" customWidth="1"/>
    <col min="30" max="30" width="20.7265625" bestFit="1" customWidth="1"/>
    <col min="31" max="31" width="16.6328125" bestFit="1" customWidth="1"/>
    <col min="32" max="32" width="12.54296875" bestFit="1" customWidth="1"/>
    <col min="34" max="34" width="18.26953125" bestFit="1" customWidth="1"/>
    <col min="35" max="35" width="18" bestFit="1" customWidth="1"/>
  </cols>
  <sheetData>
    <row r="1" spans="1:33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T1" t="s">
        <v>8</v>
      </c>
    </row>
    <row r="2" spans="1:33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T2" t="s">
        <v>9</v>
      </c>
      <c r="U2" t="s">
        <v>10</v>
      </c>
      <c r="AF2" s="3" t="s">
        <v>38</v>
      </c>
    </row>
    <row r="3" spans="1:33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O3" t="s">
        <v>40</v>
      </c>
      <c r="P3">
        <v>8</v>
      </c>
      <c r="Q3" t="s">
        <v>41</v>
      </c>
      <c r="T3" t="s">
        <v>16</v>
      </c>
      <c r="U3" t="s">
        <v>17</v>
      </c>
    </row>
    <row r="4" spans="1:33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33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33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33" ht="14" customHeight="1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AD7" t="s">
        <v>33</v>
      </c>
    </row>
    <row r="8" spans="1:33" ht="11" customHeight="1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V8" s="18" t="s">
        <v>29</v>
      </c>
      <c r="W8" s="18"/>
      <c r="X8" s="18"/>
      <c r="Y8" s="18"/>
      <c r="Z8" t="s">
        <v>30</v>
      </c>
    </row>
    <row r="9" spans="1:33" x14ac:dyDescent="0.35">
      <c r="B9" t="s">
        <v>4</v>
      </c>
      <c r="C9" t="s">
        <v>5</v>
      </c>
      <c r="D9" t="s">
        <v>6</v>
      </c>
      <c r="E9" t="s">
        <v>7</v>
      </c>
      <c r="F9" t="s">
        <v>53</v>
      </c>
      <c r="G9" t="s">
        <v>14</v>
      </c>
      <c r="H9" t="s">
        <v>13</v>
      </c>
      <c r="L9" t="s">
        <v>39</v>
      </c>
      <c r="V9" t="s">
        <v>19</v>
      </c>
      <c r="W9" t="s">
        <v>20</v>
      </c>
      <c r="X9" t="s">
        <v>21</v>
      </c>
      <c r="Y9" t="s">
        <v>22</v>
      </c>
      <c r="Z9" t="s">
        <v>23</v>
      </c>
    </row>
    <row r="10" spans="1:33" x14ac:dyDescent="0.35">
      <c r="A10" t="s">
        <v>52</v>
      </c>
      <c r="M10" t="s">
        <v>45</v>
      </c>
      <c r="N10">
        <f>C16/60</f>
        <v>0.83333333333333337</v>
      </c>
      <c r="O10" t="s">
        <v>43</v>
      </c>
      <c r="U10" t="s">
        <v>25</v>
      </c>
      <c r="V10" t="s">
        <v>4</v>
      </c>
      <c r="W10" t="s">
        <v>5</v>
      </c>
      <c r="X10" t="s">
        <v>6</v>
      </c>
      <c r="Y10" t="s">
        <v>7</v>
      </c>
      <c r="Z10" t="s">
        <v>24</v>
      </c>
      <c r="AA10" t="s">
        <v>26</v>
      </c>
    </row>
    <row r="11" spans="1:33" x14ac:dyDescent="0.35">
      <c r="A11" t="s">
        <v>48</v>
      </c>
      <c r="B11">
        <v>2</v>
      </c>
      <c r="C11">
        <v>1</v>
      </c>
      <c r="D11">
        <v>1</v>
      </c>
      <c r="E11">
        <v>2</v>
      </c>
      <c r="F11">
        <v>2</v>
      </c>
      <c r="G11">
        <f>SUM(B11:F11)</f>
        <v>8</v>
      </c>
      <c r="L11">
        <v>40</v>
      </c>
      <c r="M11" t="s">
        <v>46</v>
      </c>
      <c r="N11">
        <f>1/G11</f>
        <v>0.125</v>
      </c>
      <c r="O11" t="s">
        <v>43</v>
      </c>
      <c r="U11" t="s">
        <v>1</v>
      </c>
      <c r="AD11" t="s">
        <v>31</v>
      </c>
      <c r="AE11" t="s">
        <v>42</v>
      </c>
      <c r="AF11" t="s">
        <v>32</v>
      </c>
      <c r="AG11" t="s">
        <v>34</v>
      </c>
    </row>
    <row r="12" spans="1:33" x14ac:dyDescent="0.35">
      <c r="A12" t="s">
        <v>64</v>
      </c>
      <c r="B12">
        <v>1</v>
      </c>
      <c r="C12">
        <v>1</v>
      </c>
      <c r="D12">
        <v>1</v>
      </c>
      <c r="E12">
        <v>1</v>
      </c>
      <c r="F12">
        <v>1</v>
      </c>
      <c r="M12" t="s">
        <v>44</v>
      </c>
      <c r="N12">
        <f>N10/N11</f>
        <v>6.666666666666667</v>
      </c>
      <c r="O12" t="s">
        <v>47</v>
      </c>
      <c r="U12" t="s">
        <v>2</v>
      </c>
      <c r="V12">
        <v>2</v>
      </c>
      <c r="W12">
        <v>3</v>
      </c>
      <c r="X12">
        <v>2</v>
      </c>
      <c r="Y12">
        <v>3</v>
      </c>
      <c r="Z12">
        <v>1</v>
      </c>
      <c r="AA12">
        <f>C16</f>
        <v>50</v>
      </c>
      <c r="AD12" t="s">
        <v>19</v>
      </c>
      <c r="AE12">
        <v>10000</v>
      </c>
      <c r="AF12">
        <v>1</v>
      </c>
      <c r="AG12">
        <f>AE12*AF12</f>
        <v>10000</v>
      </c>
    </row>
    <row r="13" spans="1:33" x14ac:dyDescent="0.35">
      <c r="A13" t="s">
        <v>65</v>
      </c>
      <c r="I13" t="s">
        <v>84</v>
      </c>
      <c r="M13" t="s">
        <v>54</v>
      </c>
      <c r="N13" t="s">
        <v>56</v>
      </c>
      <c r="O13">
        <f>1/(N11-N10)</f>
        <v>-1.4117647058823528</v>
      </c>
      <c r="P13" t="s">
        <v>62</v>
      </c>
      <c r="U13" t="s">
        <v>3</v>
      </c>
      <c r="V13">
        <v>2</v>
      </c>
      <c r="W13">
        <v>3</v>
      </c>
      <c r="X13">
        <v>2</v>
      </c>
      <c r="Y13">
        <v>3</v>
      </c>
      <c r="Z13">
        <v>2</v>
      </c>
      <c r="AA13">
        <f>C22</f>
        <v>0</v>
      </c>
      <c r="AD13" t="s">
        <v>20</v>
      </c>
      <c r="AE13">
        <v>25000</v>
      </c>
      <c r="AF13">
        <v>1</v>
      </c>
      <c r="AG13">
        <f t="shared" ref="AG13:AG15" si="0">AE13*AF13</f>
        <v>25000</v>
      </c>
    </row>
    <row r="14" spans="1:33" x14ac:dyDescent="0.35">
      <c r="A14" s="4" t="s">
        <v>18</v>
      </c>
      <c r="M14" t="s">
        <v>55</v>
      </c>
      <c r="N14" t="s">
        <v>57</v>
      </c>
      <c r="O14" s="1">
        <f>C16/60*O13</f>
        <v>-1.1764705882352942</v>
      </c>
      <c r="U14" t="s">
        <v>37</v>
      </c>
      <c r="V14">
        <f>60/V13</f>
        <v>30</v>
      </c>
      <c r="W14">
        <f>60/W13</f>
        <v>20</v>
      </c>
      <c r="X14">
        <f>60/X13</f>
        <v>30</v>
      </c>
      <c r="Y14">
        <f>60/Y13</f>
        <v>20</v>
      </c>
      <c r="AA14">
        <f>60</f>
        <v>60</v>
      </c>
      <c r="AB14" t="s">
        <v>35</v>
      </c>
      <c r="AD14" t="s">
        <v>21</v>
      </c>
      <c r="AE14">
        <v>12000</v>
      </c>
      <c r="AF14">
        <v>1</v>
      </c>
      <c r="AG14">
        <f t="shared" si="0"/>
        <v>12000</v>
      </c>
    </row>
    <row r="15" spans="1:33" x14ac:dyDescent="0.35">
      <c r="C15" t="s">
        <v>12</v>
      </c>
      <c r="F15" t="s">
        <v>74</v>
      </c>
      <c r="U15" t="s">
        <v>36</v>
      </c>
      <c r="V15">
        <f>AA14/V14</f>
        <v>2</v>
      </c>
      <c r="W15">
        <f>AA14/W14</f>
        <v>3</v>
      </c>
      <c r="X15">
        <f>AA14/X14</f>
        <v>2</v>
      </c>
      <c r="Y15">
        <f>AA14/Y14</f>
        <v>3</v>
      </c>
      <c r="Z15" s="6"/>
      <c r="AD15" t="s">
        <v>22</v>
      </c>
      <c r="AE15">
        <v>10000</v>
      </c>
      <c r="AF15">
        <v>1</v>
      </c>
      <c r="AG15">
        <f t="shared" si="0"/>
        <v>10000</v>
      </c>
    </row>
    <row r="16" spans="1:33" x14ac:dyDescent="0.35">
      <c r="B16" t="s">
        <v>11</v>
      </c>
      <c r="C16" s="7">
        <v>50</v>
      </c>
      <c r="D16" t="s">
        <v>15</v>
      </c>
      <c r="F16" s="1">
        <v>50</v>
      </c>
      <c r="M16" t="s">
        <v>61</v>
      </c>
      <c r="N16" s="2" t="s">
        <v>60</v>
      </c>
      <c r="O16" s="2">
        <f>O17/N10</f>
        <v>-9.4117647058823533</v>
      </c>
      <c r="P16" t="s">
        <v>62</v>
      </c>
    </row>
    <row r="17" spans="1:16" x14ac:dyDescent="0.35">
      <c r="F17" s="1"/>
      <c r="M17" t="s">
        <v>58</v>
      </c>
      <c r="N17" t="s">
        <v>59</v>
      </c>
      <c r="O17">
        <f>N10/N11*O14</f>
        <v>-7.8431372549019613</v>
      </c>
      <c r="P17" t="s">
        <v>63</v>
      </c>
    </row>
    <row r="18" spans="1:16" x14ac:dyDescent="0.35">
      <c r="A18" t="s">
        <v>92</v>
      </c>
      <c r="B18" t="s">
        <v>82</v>
      </c>
      <c r="C18" t="s">
        <v>98</v>
      </c>
      <c r="D18" t="s">
        <v>97</v>
      </c>
      <c r="E18" t="s">
        <v>99</v>
      </c>
      <c r="F18" t="s">
        <v>102</v>
      </c>
      <c r="G18" t="s">
        <v>100</v>
      </c>
      <c r="H18" t="s">
        <v>96</v>
      </c>
      <c r="I18" t="s">
        <v>101</v>
      </c>
      <c r="N18" s="2"/>
      <c r="O18" s="2"/>
    </row>
    <row r="19" spans="1:16" x14ac:dyDescent="0.35">
      <c r="A19" t="s">
        <v>93</v>
      </c>
      <c r="B19">
        <v>20</v>
      </c>
      <c r="C19">
        <f>B19*$C$16*6*6/1000</f>
        <v>36</v>
      </c>
      <c r="D19">
        <v>25</v>
      </c>
      <c r="E19">
        <f>D19*C19</f>
        <v>900</v>
      </c>
      <c r="F19">
        <v>30</v>
      </c>
      <c r="G19">
        <f>F19*C19/2</f>
        <v>540</v>
      </c>
      <c r="H19">
        <v>600</v>
      </c>
      <c r="I19">
        <f>E19+G19+H19</f>
        <v>2040</v>
      </c>
      <c r="N19" s="2"/>
      <c r="O19" s="2"/>
    </row>
    <row r="20" spans="1:16" x14ac:dyDescent="0.35">
      <c r="A20" t="s">
        <v>94</v>
      </c>
      <c r="B20">
        <v>25</v>
      </c>
      <c r="C20">
        <f t="shared" ref="C20:C21" si="1">B20*$C$16*6*6/1000</f>
        <v>45</v>
      </c>
      <c r="D20">
        <v>60</v>
      </c>
      <c r="E20">
        <f t="shared" ref="E20:E21" si="2">D20*C20</f>
        <v>2700</v>
      </c>
      <c r="F20">
        <v>50</v>
      </c>
      <c r="G20">
        <f t="shared" ref="G20:G21" si="3">F20*C20/2</f>
        <v>1125</v>
      </c>
      <c r="H20">
        <v>1000</v>
      </c>
      <c r="I20">
        <f t="shared" ref="I20:I21" si="4">E20+G20+H20</f>
        <v>4825</v>
      </c>
      <c r="N20" s="2"/>
      <c r="O20" s="2"/>
    </row>
    <row r="21" spans="1:16" x14ac:dyDescent="0.35">
      <c r="A21" t="s">
        <v>95</v>
      </c>
      <c r="B21">
        <v>30</v>
      </c>
      <c r="C21">
        <f t="shared" si="1"/>
        <v>54</v>
      </c>
      <c r="D21">
        <v>45</v>
      </c>
      <c r="E21">
        <f t="shared" si="2"/>
        <v>2430</v>
      </c>
      <c r="F21">
        <v>40</v>
      </c>
      <c r="G21">
        <f t="shared" si="3"/>
        <v>1080</v>
      </c>
      <c r="H21">
        <v>500</v>
      </c>
      <c r="I21">
        <f t="shared" si="4"/>
        <v>4010</v>
      </c>
      <c r="N21" s="2"/>
      <c r="O21" s="2"/>
    </row>
    <row r="24" spans="1:16" x14ac:dyDescent="0.35">
      <c r="A24" t="s">
        <v>130</v>
      </c>
      <c r="B24" t="s">
        <v>129</v>
      </c>
    </row>
    <row r="25" spans="1:16" x14ac:dyDescent="0.35">
      <c r="B25" t="s">
        <v>4</v>
      </c>
      <c r="C25" t="s">
        <v>5</v>
      </c>
      <c r="D25" t="s">
        <v>6</v>
      </c>
      <c r="E25" t="s">
        <v>7</v>
      </c>
      <c r="F25" t="s">
        <v>53</v>
      </c>
      <c r="G25" t="s">
        <v>14</v>
      </c>
      <c r="H25" t="s">
        <v>71</v>
      </c>
      <c r="M25" t="s">
        <v>66</v>
      </c>
      <c r="N25">
        <f>N10</f>
        <v>0.83333333333333337</v>
      </c>
      <c r="O25" t="s">
        <v>68</v>
      </c>
    </row>
    <row r="26" spans="1:16" x14ac:dyDescent="0.35">
      <c r="A26" t="s">
        <v>52</v>
      </c>
      <c r="J26" t="s">
        <v>70</v>
      </c>
      <c r="K26">
        <f>MIN(C16,MIN(B29:F29))</f>
        <v>30</v>
      </c>
      <c r="M26" t="s">
        <v>67</v>
      </c>
      <c r="N26" t="e">
        <f>1/G29</f>
        <v>#DIV/0!</v>
      </c>
      <c r="O26" t="s">
        <v>69</v>
      </c>
    </row>
    <row r="27" spans="1:16" x14ac:dyDescent="0.35">
      <c r="A27" t="s">
        <v>48</v>
      </c>
      <c r="B27">
        <v>2</v>
      </c>
      <c r="C27">
        <v>1</v>
      </c>
      <c r="D27">
        <v>1</v>
      </c>
      <c r="E27">
        <v>2</v>
      </c>
      <c r="F27">
        <v>2</v>
      </c>
      <c r="G27">
        <f>SUM(B27:F27)</f>
        <v>8</v>
      </c>
      <c r="H27">
        <f>60/G27</f>
        <v>7.5</v>
      </c>
      <c r="J27" t="s">
        <v>83</v>
      </c>
      <c r="K27">
        <f>K26*F16*6</f>
        <v>9000</v>
      </c>
      <c r="M27" t="s">
        <v>44</v>
      </c>
      <c r="N27" t="e">
        <f>N25/N26</f>
        <v>#DIV/0!</v>
      </c>
    </row>
    <row r="28" spans="1:16" x14ac:dyDescent="0.35">
      <c r="A28" s="3" t="s">
        <v>64</v>
      </c>
      <c r="B28" s="3">
        <v>2</v>
      </c>
      <c r="C28" s="3">
        <v>1</v>
      </c>
      <c r="D28" s="3">
        <v>1</v>
      </c>
      <c r="E28" s="3">
        <v>1</v>
      </c>
      <c r="F28" s="3">
        <v>1</v>
      </c>
      <c r="J28" t="s">
        <v>78</v>
      </c>
      <c r="K28">
        <f>K27*6</f>
        <v>54000</v>
      </c>
    </row>
    <row r="29" spans="1:16" x14ac:dyDescent="0.35">
      <c r="A29" t="s">
        <v>76</v>
      </c>
      <c r="B29">
        <f>60/(B27/B28)</f>
        <v>60</v>
      </c>
      <c r="C29">
        <f t="shared" ref="C29:F29" si="5">60/(C27/C28)</f>
        <v>60</v>
      </c>
      <c r="D29">
        <f t="shared" si="5"/>
        <v>60</v>
      </c>
      <c r="E29">
        <f t="shared" si="5"/>
        <v>30</v>
      </c>
      <c r="F29">
        <f t="shared" si="5"/>
        <v>30</v>
      </c>
      <c r="J29" t="s">
        <v>75</v>
      </c>
      <c r="K29">
        <f>SUM(B32:F32)</f>
        <v>3000</v>
      </c>
      <c r="M29" t="s">
        <v>54</v>
      </c>
    </row>
    <row r="30" spans="1:16" x14ac:dyDescent="0.35">
      <c r="J30" t="s">
        <v>86</v>
      </c>
      <c r="K30">
        <f>K28-K29</f>
        <v>51000</v>
      </c>
      <c r="M30" t="s">
        <v>55</v>
      </c>
    </row>
    <row r="31" spans="1:16" x14ac:dyDescent="0.35">
      <c r="A31" t="s">
        <v>72</v>
      </c>
      <c r="B31">
        <v>500</v>
      </c>
      <c r="C31">
        <v>500</v>
      </c>
      <c r="D31">
        <v>500</v>
      </c>
      <c r="E31">
        <v>500</v>
      </c>
      <c r="F31">
        <v>500</v>
      </c>
    </row>
    <row r="32" spans="1:16" x14ac:dyDescent="0.35">
      <c r="A32" t="s">
        <v>73</v>
      </c>
      <c r="B32">
        <f>B31*B28</f>
        <v>1000</v>
      </c>
      <c r="C32">
        <f>C31*C28</f>
        <v>500</v>
      </c>
      <c r="D32">
        <f>D31*D28</f>
        <v>500</v>
      </c>
      <c r="E32">
        <f>E31*E28</f>
        <v>500</v>
      </c>
      <c r="F32">
        <f>F31*F28</f>
        <v>500</v>
      </c>
    </row>
    <row r="33" spans="1:21" x14ac:dyDescent="0.35">
      <c r="A33" t="s">
        <v>70</v>
      </c>
    </row>
    <row r="35" spans="1:21" x14ac:dyDescent="0.35">
      <c r="H35" t="s">
        <v>79</v>
      </c>
      <c r="I35">
        <v>90</v>
      </c>
      <c r="J35" t="s">
        <v>80</v>
      </c>
    </row>
    <row r="36" spans="1:21" x14ac:dyDescent="0.35">
      <c r="A36" t="s">
        <v>49</v>
      </c>
      <c r="B36" t="s">
        <v>103</v>
      </c>
      <c r="C36" s="5"/>
      <c r="D36" s="5"/>
      <c r="E36" s="5"/>
      <c r="H36" t="s">
        <v>81</v>
      </c>
      <c r="I36">
        <v>20</v>
      </c>
      <c r="J36" t="s">
        <v>82</v>
      </c>
      <c r="M36" t="s">
        <v>61</v>
      </c>
      <c r="U36" t="s">
        <v>27</v>
      </c>
    </row>
    <row r="37" spans="1:21" x14ac:dyDescent="0.35">
      <c r="B37" t="s">
        <v>4</v>
      </c>
      <c r="C37" t="s">
        <v>5</v>
      </c>
      <c r="D37" t="s">
        <v>6</v>
      </c>
      <c r="E37" t="s">
        <v>7</v>
      </c>
      <c r="F37" t="s">
        <v>53</v>
      </c>
      <c r="M37" t="s">
        <v>58</v>
      </c>
    </row>
    <row r="38" spans="1:21" x14ac:dyDescent="0.35">
      <c r="A38" t="s">
        <v>52</v>
      </c>
      <c r="J38" t="s">
        <v>70</v>
      </c>
      <c r="K38">
        <f>MIN(I35,MIN(B41:F41))</f>
        <v>90</v>
      </c>
    </row>
    <row r="39" spans="1:21" x14ac:dyDescent="0.35">
      <c r="A39" t="s">
        <v>48</v>
      </c>
      <c r="B39">
        <v>2</v>
      </c>
      <c r="C39">
        <v>1</v>
      </c>
      <c r="D39">
        <v>1</v>
      </c>
      <c r="E39">
        <v>2</v>
      </c>
      <c r="F39">
        <v>2</v>
      </c>
      <c r="J39" t="s">
        <v>77</v>
      </c>
      <c r="K39">
        <f>K38*I36*6</f>
        <v>10800</v>
      </c>
    </row>
    <row r="40" spans="1:21" x14ac:dyDescent="0.35">
      <c r="A40" s="3" t="s">
        <v>64</v>
      </c>
      <c r="B40" s="3">
        <v>3</v>
      </c>
      <c r="C40" s="3">
        <v>2</v>
      </c>
      <c r="D40" s="3">
        <v>2</v>
      </c>
      <c r="E40" s="3">
        <v>3</v>
      </c>
      <c r="F40" s="3">
        <v>3</v>
      </c>
      <c r="J40" t="s">
        <v>78</v>
      </c>
      <c r="K40">
        <f>K39*6</f>
        <v>64800</v>
      </c>
    </row>
    <row r="41" spans="1:21" x14ac:dyDescent="0.35">
      <c r="A41" t="s">
        <v>76</v>
      </c>
      <c r="B41">
        <f>60/(B39/B40)</f>
        <v>90</v>
      </c>
      <c r="C41">
        <f t="shared" ref="C41" si="6">60/(C39/C40)</f>
        <v>120</v>
      </c>
      <c r="D41">
        <f t="shared" ref="D41" si="7">60/(D39/D40)</f>
        <v>120</v>
      </c>
      <c r="E41">
        <f t="shared" ref="E41" si="8">60/(E39/E40)</f>
        <v>90</v>
      </c>
      <c r="F41">
        <f t="shared" ref="F41" si="9">60/(F39/F40)</f>
        <v>90</v>
      </c>
      <c r="J41" t="s">
        <v>75</v>
      </c>
      <c r="K41">
        <f>SUM(B44:F44)</f>
        <v>6500</v>
      </c>
    </row>
    <row r="43" spans="1:21" x14ac:dyDescent="0.35">
      <c r="A43" t="s">
        <v>72</v>
      </c>
      <c r="B43">
        <v>500</v>
      </c>
      <c r="C43">
        <v>500</v>
      </c>
      <c r="D43">
        <v>500</v>
      </c>
      <c r="E43">
        <v>500</v>
      </c>
      <c r="F43">
        <v>500</v>
      </c>
    </row>
    <row r="44" spans="1:21" x14ac:dyDescent="0.35">
      <c r="A44" t="s">
        <v>73</v>
      </c>
      <c r="B44">
        <f>B43*B40</f>
        <v>1500</v>
      </c>
      <c r="C44">
        <f>C43*C40</f>
        <v>1000</v>
      </c>
      <c r="D44">
        <f>D43*D40</f>
        <v>1000</v>
      </c>
      <c r="E44">
        <f>E43*E40</f>
        <v>1500</v>
      </c>
      <c r="F44">
        <f>F43*F40</f>
        <v>1500</v>
      </c>
      <c r="J44" t="s">
        <v>85</v>
      </c>
      <c r="K44">
        <f>K40-K41</f>
        <v>58300</v>
      </c>
      <c r="U44" t="s">
        <v>28</v>
      </c>
    </row>
    <row r="49" spans="1:11" x14ac:dyDescent="0.35">
      <c r="A49" t="s">
        <v>131</v>
      </c>
      <c r="B49" t="s">
        <v>50</v>
      </c>
      <c r="D49" t="s">
        <v>51</v>
      </c>
    </row>
    <row r="51" spans="1:11" x14ac:dyDescent="0.35">
      <c r="B51" t="s">
        <v>88</v>
      </c>
      <c r="C51" t="s">
        <v>89</v>
      </c>
      <c r="E51" t="s">
        <v>91</v>
      </c>
      <c r="F51" t="s">
        <v>104</v>
      </c>
    </row>
    <row r="52" spans="1:11" x14ac:dyDescent="0.35">
      <c r="A52" t="s">
        <v>4</v>
      </c>
      <c r="B52">
        <v>2</v>
      </c>
      <c r="C52" t="s">
        <v>48</v>
      </c>
      <c r="D52">
        <v>2</v>
      </c>
      <c r="E52">
        <v>30</v>
      </c>
      <c r="F52">
        <v>20</v>
      </c>
    </row>
    <row r="53" spans="1:11" x14ac:dyDescent="0.35">
      <c r="A53" t="s">
        <v>5</v>
      </c>
      <c r="B53">
        <v>1</v>
      </c>
      <c r="C53" t="s">
        <v>87</v>
      </c>
      <c r="D53">
        <v>3</v>
      </c>
      <c r="E53">
        <v>40</v>
      </c>
      <c r="F53">
        <v>10</v>
      </c>
      <c r="H53" t="s">
        <v>110</v>
      </c>
      <c r="I53" t="s">
        <v>111</v>
      </c>
    </row>
    <row r="54" spans="1:11" x14ac:dyDescent="0.35">
      <c r="A54" t="s">
        <v>6</v>
      </c>
      <c r="B54">
        <v>2</v>
      </c>
      <c r="C54" t="s">
        <v>90</v>
      </c>
      <c r="D54">
        <v>2.5</v>
      </c>
      <c r="E54">
        <v>35</v>
      </c>
      <c r="F54">
        <v>20</v>
      </c>
    </row>
    <row r="55" spans="1:11" x14ac:dyDescent="0.35">
      <c r="A55" t="s">
        <v>7</v>
      </c>
      <c r="B55">
        <v>3</v>
      </c>
    </row>
    <row r="56" spans="1:11" x14ac:dyDescent="0.35">
      <c r="F56">
        <f>SUM(F52:F55)</f>
        <v>50</v>
      </c>
    </row>
    <row r="57" spans="1:11" x14ac:dyDescent="0.35">
      <c r="B57" t="s">
        <v>4</v>
      </c>
      <c r="C57" t="s">
        <v>5</v>
      </c>
      <c r="D57" t="s">
        <v>6</v>
      </c>
      <c r="E57" t="s">
        <v>7</v>
      </c>
      <c r="F57" s="18" t="s">
        <v>107</v>
      </c>
      <c r="G57" s="18"/>
      <c r="H57" s="18"/>
    </row>
    <row r="58" spans="1:11" x14ac:dyDescent="0.35">
      <c r="A58" t="s">
        <v>105</v>
      </c>
      <c r="B58">
        <v>2</v>
      </c>
      <c r="C58">
        <v>1</v>
      </c>
      <c r="D58">
        <v>2</v>
      </c>
      <c r="E58" s="3">
        <v>3</v>
      </c>
      <c r="F58">
        <v>2</v>
      </c>
      <c r="G58">
        <v>3</v>
      </c>
      <c r="H58">
        <v>2.5</v>
      </c>
    </row>
    <row r="59" spans="1:11" x14ac:dyDescent="0.35">
      <c r="A59" t="s">
        <v>106</v>
      </c>
      <c r="B59">
        <v>1</v>
      </c>
      <c r="C59">
        <v>1</v>
      </c>
      <c r="D59">
        <v>1</v>
      </c>
      <c r="E59">
        <v>2</v>
      </c>
      <c r="F59">
        <v>1</v>
      </c>
      <c r="G59">
        <f>F59</f>
        <v>1</v>
      </c>
      <c r="H59">
        <f>F59</f>
        <v>1</v>
      </c>
    </row>
    <row r="60" spans="1:11" x14ac:dyDescent="0.35">
      <c r="A60" t="s">
        <v>108</v>
      </c>
      <c r="B60">
        <f t="shared" ref="B60:E60" si="10">60/(B58/B59)</f>
        <v>30</v>
      </c>
      <c r="C60">
        <f t="shared" si="10"/>
        <v>60</v>
      </c>
      <c r="D60">
        <f t="shared" si="10"/>
        <v>30</v>
      </c>
      <c r="E60">
        <f t="shared" si="10"/>
        <v>40</v>
      </c>
    </row>
    <row r="61" spans="1:11" x14ac:dyDescent="0.35">
      <c r="B61" s="18" t="s">
        <v>109</v>
      </c>
      <c r="C61" s="18"/>
      <c r="D61" s="18"/>
      <c r="E61" s="18"/>
      <c r="F61">
        <f>60*F59/5</f>
        <v>12</v>
      </c>
    </row>
    <row r="62" spans="1:11" x14ac:dyDescent="0.35">
      <c r="E62" t="s">
        <v>112</v>
      </c>
      <c r="F62">
        <f>2*F61</f>
        <v>24</v>
      </c>
      <c r="G62">
        <f>1*F61</f>
        <v>12</v>
      </c>
      <c r="H62">
        <f>F61*2</f>
        <v>24</v>
      </c>
      <c r="J62" t="s">
        <v>70</v>
      </c>
      <c r="K62">
        <f>MIN(MIN(B60:E60),MIN(F63+G63+H63))</f>
        <v>26</v>
      </c>
    </row>
    <row r="63" spans="1:11" x14ac:dyDescent="0.35">
      <c r="E63" t="s">
        <v>113</v>
      </c>
      <c r="F63">
        <f>ROUND(F62/F58,0)</f>
        <v>12</v>
      </c>
      <c r="G63">
        <f t="shared" ref="G63:H63" si="11">ROUND(G62/G58,0)</f>
        <v>4</v>
      </c>
      <c r="H63">
        <f t="shared" si="11"/>
        <v>10</v>
      </c>
      <c r="J63" t="s">
        <v>115</v>
      </c>
      <c r="K63">
        <f>K62*(E52*2/5+E53*1/5+E54*2/5)</f>
        <v>884</v>
      </c>
    </row>
    <row r="64" spans="1:11" x14ac:dyDescent="0.35">
      <c r="J64" t="s">
        <v>78</v>
      </c>
      <c r="K64">
        <f>(K63*6*6)</f>
        <v>31824</v>
      </c>
    </row>
    <row r="65" spans="1:12" x14ac:dyDescent="0.35">
      <c r="J65" t="s">
        <v>75</v>
      </c>
      <c r="K65">
        <f>SUMPRODUCT(B59:E59,B43:E43)+F59*F31</f>
        <v>3000</v>
      </c>
    </row>
    <row r="66" spans="1:12" x14ac:dyDescent="0.35">
      <c r="C66" t="s">
        <v>114</v>
      </c>
    </row>
    <row r="68" spans="1:12" x14ac:dyDescent="0.35">
      <c r="J68" t="s">
        <v>85</v>
      </c>
      <c r="K68">
        <f>K64-K65</f>
        <v>28824</v>
      </c>
      <c r="L68" t="s">
        <v>116</v>
      </c>
    </row>
    <row r="72" spans="1:12" x14ac:dyDescent="0.35">
      <c r="A72" t="s">
        <v>132</v>
      </c>
      <c r="B72" t="s">
        <v>117</v>
      </c>
    </row>
    <row r="74" spans="1:12" x14ac:dyDescent="0.35">
      <c r="B74" t="s">
        <v>4</v>
      </c>
      <c r="C74" t="s">
        <v>5</v>
      </c>
      <c r="D74" t="s">
        <v>6</v>
      </c>
      <c r="E74" t="s">
        <v>7</v>
      </c>
      <c r="F74" s="18" t="s">
        <v>107</v>
      </c>
      <c r="G74" s="18"/>
      <c r="H74" s="18"/>
    </row>
    <row r="75" spans="1:12" x14ac:dyDescent="0.35">
      <c r="B75">
        <v>2</v>
      </c>
      <c r="C75">
        <v>1</v>
      </c>
      <c r="D75">
        <v>2</v>
      </c>
      <c r="E75" s="3">
        <v>3</v>
      </c>
      <c r="F75">
        <v>2</v>
      </c>
      <c r="G75">
        <v>3</v>
      </c>
      <c r="H75">
        <v>2.5</v>
      </c>
      <c r="J75" t="s">
        <v>133</v>
      </c>
    </row>
    <row r="77" spans="1:12" x14ac:dyDescent="0.35">
      <c r="A77" t="s">
        <v>101</v>
      </c>
      <c r="B77">
        <v>500</v>
      </c>
      <c r="C77">
        <v>500</v>
      </c>
      <c r="D77">
        <v>500</v>
      </c>
      <c r="E77">
        <v>500</v>
      </c>
      <c r="F77" s="18">
        <v>500</v>
      </c>
      <c r="G77" s="18"/>
      <c r="H77" s="18"/>
    </row>
    <row r="78" spans="1:12" x14ac:dyDescent="0.35">
      <c r="A78" t="s">
        <v>134</v>
      </c>
      <c r="B78">
        <v>1</v>
      </c>
      <c r="C78">
        <v>1</v>
      </c>
      <c r="D78">
        <v>2</v>
      </c>
      <c r="E78">
        <v>2</v>
      </c>
      <c r="F78">
        <v>1</v>
      </c>
      <c r="G78">
        <v>1</v>
      </c>
      <c r="H78">
        <v>1</v>
      </c>
    </row>
    <row r="84" spans="1:9" x14ac:dyDescent="0.35">
      <c r="B84">
        <v>2</v>
      </c>
      <c r="C84">
        <v>1</v>
      </c>
      <c r="D84" s="18">
        <v>2.5</v>
      </c>
      <c r="E84" s="18"/>
      <c r="F84" s="18"/>
      <c r="G84" s="18"/>
      <c r="H84" s="18"/>
    </row>
    <row r="85" spans="1:9" x14ac:dyDescent="0.35">
      <c r="A85" t="s">
        <v>101</v>
      </c>
      <c r="B85">
        <v>500</v>
      </c>
      <c r="C85">
        <v>500</v>
      </c>
      <c r="D85" s="18">
        <v>600</v>
      </c>
      <c r="E85" s="18"/>
      <c r="F85" s="18"/>
      <c r="G85" s="18"/>
      <c r="H85" s="18"/>
    </row>
    <row r="86" spans="1:9" x14ac:dyDescent="0.35">
      <c r="A86" t="s">
        <v>135</v>
      </c>
    </row>
    <row r="90" spans="1:9" x14ac:dyDescent="0.35">
      <c r="C90" t="s">
        <v>136</v>
      </c>
      <c r="D90" t="s">
        <v>137</v>
      </c>
      <c r="E90" t="s">
        <v>138</v>
      </c>
      <c r="F90" t="s">
        <v>6</v>
      </c>
      <c r="G90" t="s">
        <v>7</v>
      </c>
      <c r="H90" t="s">
        <v>140</v>
      </c>
      <c r="I90" t="s">
        <v>139</v>
      </c>
    </row>
    <row r="91" spans="1:9" x14ac:dyDescent="0.35">
      <c r="C91" t="s">
        <v>141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</row>
  </sheetData>
  <mergeCells count="10">
    <mergeCell ref="D84:E84"/>
    <mergeCell ref="F84:H84"/>
    <mergeCell ref="F77:H77"/>
    <mergeCell ref="D85:E85"/>
    <mergeCell ref="F85:H85"/>
    <mergeCell ref="A1:M8"/>
    <mergeCell ref="V8:Y8"/>
    <mergeCell ref="F57:H57"/>
    <mergeCell ref="B61:E61"/>
    <mergeCell ref="F74:H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E255-768D-4593-8EED-B7B2620ACF8F}">
  <dimension ref="A1:M37"/>
  <sheetViews>
    <sheetView topLeftCell="A26" workbookViewId="0">
      <selection activeCell="B37" sqref="B37"/>
    </sheetView>
  </sheetViews>
  <sheetFormatPr defaultRowHeight="14.5" x14ac:dyDescent="0.35"/>
  <cols>
    <col min="1" max="1" width="24.36328125" customWidth="1"/>
    <col min="2" max="2" width="16.26953125" customWidth="1"/>
    <col min="7" max="7" width="14" customWidth="1"/>
    <col min="8" max="8" width="20.36328125" bestFit="1" customWidth="1"/>
    <col min="9" max="9" width="11.7265625" customWidth="1"/>
  </cols>
  <sheetData>
    <row r="1" spans="1:13" x14ac:dyDescent="0.35">
      <c r="A1" t="s">
        <v>142</v>
      </c>
      <c r="L1" t="s">
        <v>151</v>
      </c>
      <c r="M1" t="s">
        <v>152</v>
      </c>
    </row>
    <row r="2" spans="1:13" x14ac:dyDescent="0.35">
      <c r="H2" t="s">
        <v>149</v>
      </c>
      <c r="I2">
        <v>50</v>
      </c>
    </row>
    <row r="3" spans="1:13" x14ac:dyDescent="0.35">
      <c r="A3" t="s">
        <v>143</v>
      </c>
      <c r="B3" t="s">
        <v>4</v>
      </c>
      <c r="C3" t="s">
        <v>5</v>
      </c>
      <c r="D3" t="s">
        <v>6</v>
      </c>
      <c r="E3" t="s">
        <v>7</v>
      </c>
      <c r="F3" t="s">
        <v>107</v>
      </c>
    </row>
    <row r="4" spans="1:13" x14ac:dyDescent="0.35">
      <c r="A4" t="s">
        <v>144</v>
      </c>
      <c r="B4">
        <v>2</v>
      </c>
      <c r="C4">
        <v>1</v>
      </c>
      <c r="D4">
        <v>2.5</v>
      </c>
      <c r="E4">
        <v>3</v>
      </c>
      <c r="F4">
        <v>2.5</v>
      </c>
      <c r="H4" t="s">
        <v>148</v>
      </c>
    </row>
    <row r="5" spans="1:13" x14ac:dyDescent="0.35">
      <c r="A5" s="3" t="s">
        <v>145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H5" t="s">
        <v>176</v>
      </c>
      <c r="I5">
        <f>I2*B8</f>
        <v>82800</v>
      </c>
      <c r="M5">
        <v>72000</v>
      </c>
    </row>
    <row r="6" spans="1:13" x14ac:dyDescent="0.35">
      <c r="A6" t="s">
        <v>150</v>
      </c>
      <c r="B6">
        <v>500</v>
      </c>
      <c r="C6">
        <v>600</v>
      </c>
      <c r="D6">
        <v>500</v>
      </c>
      <c r="E6">
        <v>650</v>
      </c>
      <c r="F6">
        <v>700</v>
      </c>
      <c r="G6" t="s">
        <v>175</v>
      </c>
      <c r="H6" t="s">
        <v>177</v>
      </c>
      <c r="I6">
        <f>MAX(0,B9-0.95)*I5</f>
        <v>4140.0000000000036</v>
      </c>
      <c r="M6">
        <v>0</v>
      </c>
    </row>
    <row r="7" spans="1:13" x14ac:dyDescent="0.35">
      <c r="A7" t="s">
        <v>147</v>
      </c>
      <c r="B7">
        <f>(60/B4)*B5</f>
        <v>120</v>
      </c>
      <c r="C7">
        <f t="shared" ref="C7:F7" si="0">(60/C4)*C5</f>
        <v>240</v>
      </c>
      <c r="D7">
        <f t="shared" si="0"/>
        <v>96</v>
      </c>
      <c r="E7">
        <f t="shared" si="0"/>
        <v>80</v>
      </c>
      <c r="F7">
        <f t="shared" si="0"/>
        <v>96</v>
      </c>
      <c r="G7">
        <v>46</v>
      </c>
      <c r="H7" t="s">
        <v>125</v>
      </c>
      <c r="I7">
        <f>SUMPRODUCT(B5:F5,B6:F6)*6</f>
        <v>70800</v>
      </c>
      <c r="M7">
        <v>35400</v>
      </c>
    </row>
    <row r="8" spans="1:13" x14ac:dyDescent="0.35">
      <c r="A8" t="s">
        <v>185</v>
      </c>
      <c r="B8">
        <f>MIN(B7:G7)*36</f>
        <v>1656</v>
      </c>
      <c r="G8">
        <f>G7*36</f>
        <v>1656</v>
      </c>
      <c r="H8" t="s">
        <v>86</v>
      </c>
      <c r="I8">
        <f>I5+I6-I7</f>
        <v>16140</v>
      </c>
      <c r="M8">
        <v>36600</v>
      </c>
    </row>
    <row r="9" spans="1:13" x14ac:dyDescent="0.35">
      <c r="A9" t="s">
        <v>181</v>
      </c>
      <c r="B9">
        <f>B8/G8</f>
        <v>1</v>
      </c>
    </row>
    <row r="12" spans="1:13" x14ac:dyDescent="0.35">
      <c r="A12" t="s">
        <v>154</v>
      </c>
    </row>
    <row r="13" spans="1:13" x14ac:dyDescent="0.35">
      <c r="A13" t="s">
        <v>143</v>
      </c>
      <c r="B13" t="s">
        <v>4</v>
      </c>
      <c r="C13" t="s">
        <v>5</v>
      </c>
      <c r="D13" t="s">
        <v>6</v>
      </c>
      <c r="E13" t="s">
        <v>7</v>
      </c>
      <c r="F13" t="s">
        <v>155</v>
      </c>
      <c r="G13" t="s">
        <v>107</v>
      </c>
    </row>
    <row r="14" spans="1:13" x14ac:dyDescent="0.35">
      <c r="A14" t="s">
        <v>144</v>
      </c>
      <c r="B14">
        <v>2</v>
      </c>
      <c r="C14">
        <v>1</v>
      </c>
      <c r="D14">
        <v>2.5</v>
      </c>
      <c r="E14">
        <v>3</v>
      </c>
      <c r="F14">
        <v>2</v>
      </c>
      <c r="G14">
        <v>2.5</v>
      </c>
    </row>
    <row r="15" spans="1:13" x14ac:dyDescent="0.35">
      <c r="A15" t="s">
        <v>146</v>
      </c>
      <c r="B15">
        <v>500</v>
      </c>
      <c r="C15">
        <v>600</v>
      </c>
      <c r="D15">
        <v>500</v>
      </c>
      <c r="E15">
        <v>650</v>
      </c>
      <c r="F15">
        <v>1200</v>
      </c>
      <c r="G15">
        <v>700</v>
      </c>
      <c r="J15" t="s">
        <v>180</v>
      </c>
      <c r="K15">
        <v>50</v>
      </c>
    </row>
    <row r="16" spans="1:13" x14ac:dyDescent="0.35">
      <c r="A16" t="s">
        <v>145</v>
      </c>
      <c r="B16">
        <v>1</v>
      </c>
      <c r="C16">
        <v>1</v>
      </c>
      <c r="D16" s="16">
        <v>1</v>
      </c>
      <c r="E16" s="16">
        <v>1</v>
      </c>
      <c r="F16">
        <v>1</v>
      </c>
      <c r="G16">
        <v>1</v>
      </c>
      <c r="H16" t="s">
        <v>179</v>
      </c>
      <c r="J16" t="s">
        <v>181</v>
      </c>
      <c r="K16">
        <f>B19</f>
        <v>1</v>
      </c>
    </row>
    <row r="17" spans="1:11" x14ac:dyDescent="0.35">
      <c r="A17" t="s">
        <v>156</v>
      </c>
      <c r="B17">
        <f>60/B14*B16</f>
        <v>30</v>
      </c>
      <c r="C17">
        <f t="shared" ref="C17:G17" si="1">60/C14*C16</f>
        <v>60</v>
      </c>
      <c r="D17" s="16">
        <f t="shared" si="1"/>
        <v>24</v>
      </c>
      <c r="E17" s="16">
        <f t="shared" si="1"/>
        <v>20</v>
      </c>
      <c r="F17">
        <f>60/F14*F16</f>
        <v>30</v>
      </c>
      <c r="G17">
        <f t="shared" si="1"/>
        <v>24</v>
      </c>
      <c r="H17">
        <v>1</v>
      </c>
      <c r="J17" t="s">
        <v>182</v>
      </c>
      <c r="K17">
        <f>K15*B18</f>
        <v>1800</v>
      </c>
    </row>
    <row r="18" spans="1:11" x14ac:dyDescent="0.35">
      <c r="A18" t="s">
        <v>70</v>
      </c>
      <c r="B18">
        <f>MIN(B17,C17,(MIN(D17:E17)+F17),G17,H17)*36</f>
        <v>36</v>
      </c>
      <c r="J18" t="s">
        <v>183</v>
      </c>
      <c r="K18">
        <f>MAX(0,K16-0.95)*K17</f>
        <v>90.000000000000085</v>
      </c>
    </row>
    <row r="19" spans="1:11" x14ac:dyDescent="0.35">
      <c r="A19" t="s">
        <v>178</v>
      </c>
      <c r="B19">
        <f>B18/(36*H17)</f>
        <v>1</v>
      </c>
      <c r="J19" t="s">
        <v>184</v>
      </c>
      <c r="K19">
        <f>SUMPRODUCT(B16:G16,B15:G15)</f>
        <v>4150</v>
      </c>
    </row>
    <row r="20" spans="1:11" x14ac:dyDescent="0.35">
      <c r="J20" t="s">
        <v>85</v>
      </c>
      <c r="K20">
        <f>K17+K18-K19</f>
        <v>-2260</v>
      </c>
    </row>
    <row r="25" spans="1:11" x14ac:dyDescent="0.35">
      <c r="B25" t="s">
        <v>161</v>
      </c>
    </row>
    <row r="27" spans="1:11" x14ac:dyDescent="0.35">
      <c r="A27" t="s">
        <v>132</v>
      </c>
    </row>
    <row r="28" spans="1:11" x14ac:dyDescent="0.35">
      <c r="A28" t="s">
        <v>157</v>
      </c>
      <c r="B28" t="s">
        <v>137</v>
      </c>
      <c r="C28" t="s">
        <v>5</v>
      </c>
      <c r="D28" t="s">
        <v>6</v>
      </c>
      <c r="E28" t="s">
        <v>7</v>
      </c>
      <c r="F28" t="s">
        <v>79</v>
      </c>
      <c r="G28" t="s">
        <v>160</v>
      </c>
      <c r="I28" t="s">
        <v>162</v>
      </c>
    </row>
    <row r="29" spans="1:11" x14ac:dyDescent="0.35">
      <c r="A29" t="s">
        <v>144</v>
      </c>
      <c r="B29">
        <v>2</v>
      </c>
      <c r="C29">
        <v>1</v>
      </c>
      <c r="D29">
        <v>2.5</v>
      </c>
      <c r="E29">
        <v>2</v>
      </c>
      <c r="F29">
        <v>21</v>
      </c>
      <c r="G29">
        <v>25</v>
      </c>
    </row>
    <row r="30" spans="1:11" x14ac:dyDescent="0.35">
      <c r="A30" t="s">
        <v>158</v>
      </c>
      <c r="B30">
        <v>2</v>
      </c>
      <c r="C30">
        <v>1</v>
      </c>
      <c r="D30">
        <v>2.5</v>
      </c>
      <c r="E30">
        <v>3</v>
      </c>
      <c r="F30">
        <v>30</v>
      </c>
      <c r="G30">
        <v>40</v>
      </c>
    </row>
    <row r="31" spans="1:11" x14ac:dyDescent="0.35">
      <c r="A31" t="s">
        <v>159</v>
      </c>
      <c r="B31">
        <v>2</v>
      </c>
      <c r="C31">
        <v>1</v>
      </c>
      <c r="D31">
        <v>2.5</v>
      </c>
      <c r="E31">
        <v>2.5</v>
      </c>
      <c r="F31">
        <v>24</v>
      </c>
      <c r="G31">
        <v>30</v>
      </c>
    </row>
    <row r="32" spans="1:11" x14ac:dyDescent="0.35">
      <c r="A32" t="s">
        <v>165</v>
      </c>
      <c r="B32">
        <v>400</v>
      </c>
      <c r="C32">
        <v>500</v>
      </c>
      <c r="D32">
        <v>1200</v>
      </c>
      <c r="E32">
        <v>700</v>
      </c>
    </row>
    <row r="33" spans="1:12" x14ac:dyDescent="0.35">
      <c r="A33" t="s">
        <v>106</v>
      </c>
      <c r="B33">
        <v>1</v>
      </c>
      <c r="C33">
        <v>1</v>
      </c>
      <c r="D33">
        <v>1</v>
      </c>
      <c r="E33">
        <v>1</v>
      </c>
      <c r="F33" t="s">
        <v>187</v>
      </c>
    </row>
    <row r="34" spans="1:12" x14ac:dyDescent="0.35">
      <c r="A34" t="s">
        <v>147</v>
      </c>
      <c r="B34">
        <f>(60/B31*B33)</f>
        <v>30</v>
      </c>
      <c r="C34">
        <f t="shared" ref="C34:D34" si="2">(60/C31*C33)</f>
        <v>60</v>
      </c>
      <c r="D34">
        <f t="shared" si="2"/>
        <v>24</v>
      </c>
      <c r="E34" s="16">
        <f>60/E30*E33</f>
        <v>20</v>
      </c>
      <c r="F34" s="16">
        <f>F30</f>
        <v>30</v>
      </c>
      <c r="G34" s="16"/>
      <c r="I34" t="s">
        <v>163</v>
      </c>
      <c r="J34">
        <f>E33*60</f>
        <v>60</v>
      </c>
      <c r="K34" t="s">
        <v>164</v>
      </c>
    </row>
    <row r="35" spans="1:12" x14ac:dyDescent="0.35">
      <c r="I35" t="s">
        <v>158</v>
      </c>
      <c r="J35">
        <f>E36*E30</f>
        <v>0</v>
      </c>
    </row>
    <row r="36" spans="1:12" x14ac:dyDescent="0.35">
      <c r="A36" t="s">
        <v>186</v>
      </c>
      <c r="B36">
        <f>MIN(B34:F34)</f>
        <v>20</v>
      </c>
      <c r="I36" t="s">
        <v>159</v>
      </c>
      <c r="J36">
        <f>E37*E31</f>
        <v>0</v>
      </c>
      <c r="L36">
        <f>IF(J34-J35&gt;0,1,0)</f>
        <v>1</v>
      </c>
    </row>
    <row r="37" spans="1:12" x14ac:dyDescent="0.35">
      <c r="A37" t="s">
        <v>188</v>
      </c>
      <c r="B37">
        <f>MAX(0,(MIN((B36-B34),(B36-C34),(B36-D34),(B36-E34),F31)))</f>
        <v>0</v>
      </c>
      <c r="I37" t="s">
        <v>144</v>
      </c>
      <c r="J37">
        <f>E38*E29</f>
        <v>0</v>
      </c>
      <c r="L37">
        <f>IF(J34-(J35+J36)&gt;0,1,0)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4E23-587A-4F3F-80F5-2E7E314CFF86}">
  <dimension ref="A1:F10"/>
  <sheetViews>
    <sheetView workbookViewId="0">
      <selection activeCell="A15" sqref="A15"/>
    </sheetView>
  </sheetViews>
  <sheetFormatPr defaultRowHeight="14.5" x14ac:dyDescent="0.35"/>
  <cols>
    <col min="2" max="2" width="30.7265625" bestFit="1" customWidth="1"/>
  </cols>
  <sheetData>
    <row r="1" spans="1:6" x14ac:dyDescent="0.35">
      <c r="A1" t="s">
        <v>166</v>
      </c>
      <c r="B1" t="s">
        <v>168</v>
      </c>
      <c r="E1" t="s">
        <v>167</v>
      </c>
      <c r="F1" t="s">
        <v>169</v>
      </c>
    </row>
    <row r="2" spans="1:6" x14ac:dyDescent="0.35">
      <c r="A2" t="s">
        <v>167</v>
      </c>
      <c r="B2" s="20" t="s">
        <v>170</v>
      </c>
      <c r="E2" t="s">
        <v>167</v>
      </c>
      <c r="F2" t="s">
        <v>171</v>
      </c>
    </row>
    <row r="3" spans="1:6" x14ac:dyDescent="0.35">
      <c r="B3" s="20"/>
      <c r="F3" t="s">
        <v>172</v>
      </c>
    </row>
    <row r="4" spans="1:6" x14ac:dyDescent="0.35">
      <c r="B4" s="20"/>
    </row>
    <row r="5" spans="1:6" x14ac:dyDescent="0.35">
      <c r="B5" s="20"/>
    </row>
    <row r="7" spans="1:6" ht="14.5" customHeight="1" x14ac:dyDescent="0.35">
      <c r="A7" t="s">
        <v>166</v>
      </c>
      <c r="B7" s="21" t="s">
        <v>173</v>
      </c>
      <c r="E7" t="s">
        <v>167</v>
      </c>
      <c r="F7" t="s">
        <v>174</v>
      </c>
    </row>
    <row r="8" spans="1:6" x14ac:dyDescent="0.35">
      <c r="B8" s="21"/>
    </row>
    <row r="9" spans="1:6" x14ac:dyDescent="0.35">
      <c r="B9" s="21"/>
    </row>
    <row r="10" spans="1:6" x14ac:dyDescent="0.35">
      <c r="B10" s="21"/>
    </row>
  </sheetData>
  <mergeCells count="2">
    <mergeCell ref="B2:B5"/>
    <mergeCell ref="B7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58EE-E0D0-4D7C-93AD-221B7B4AD0E4}">
  <dimension ref="A1:B4"/>
  <sheetViews>
    <sheetView tabSelected="1" workbookViewId="0">
      <selection activeCell="H11" sqref="H11"/>
    </sheetView>
  </sheetViews>
  <sheetFormatPr defaultRowHeight="14.5" x14ac:dyDescent="0.35"/>
  <cols>
    <col min="2" max="2" width="27.08984375" bestFit="1" customWidth="1"/>
  </cols>
  <sheetData>
    <row r="1" spans="1:2" x14ac:dyDescent="0.35">
      <c r="A1" t="s">
        <v>194</v>
      </c>
      <c r="B1" t="s">
        <v>195</v>
      </c>
    </row>
    <row r="2" spans="1:2" x14ac:dyDescent="0.35">
      <c r="A2" t="s">
        <v>196</v>
      </c>
      <c r="B2" t="s">
        <v>197</v>
      </c>
    </row>
    <row r="3" spans="1:2" x14ac:dyDescent="0.35">
      <c r="A3" t="s">
        <v>198</v>
      </c>
      <c r="B3" t="s">
        <v>199</v>
      </c>
    </row>
    <row r="4" spans="1:2" x14ac:dyDescent="0.35">
      <c r="A4" t="s">
        <v>200</v>
      </c>
      <c r="B4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A2B-98C6-493F-B107-BDA75884C3DF}">
  <dimension ref="A1:E1"/>
  <sheetViews>
    <sheetView workbookViewId="0">
      <selection activeCell="F4" sqref="F4"/>
    </sheetView>
  </sheetViews>
  <sheetFormatPr defaultRowHeight="14.5" x14ac:dyDescent="0.35"/>
  <cols>
    <col min="2" max="2" width="8.54296875" bestFit="1" customWidth="1"/>
    <col min="3" max="3" width="18.26953125" bestFit="1" customWidth="1"/>
    <col min="4" max="4" width="17" bestFit="1" customWidth="1"/>
    <col min="5" max="5" width="14.453125" bestFit="1" customWidth="1"/>
    <col min="6" max="6" width="12.90625" bestFit="1" customWidth="1"/>
    <col min="7" max="7" width="13.1796875" bestFit="1" customWidth="1"/>
    <col min="8" max="8" width="10.6328125" bestFit="1" customWidth="1"/>
  </cols>
  <sheetData>
    <row r="1" spans="1:5" x14ac:dyDescent="0.35">
      <c r="A1" t="s">
        <v>189</v>
      </c>
      <c r="B1" t="s">
        <v>190</v>
      </c>
      <c r="C1" t="s">
        <v>191</v>
      </c>
      <c r="D1" t="s">
        <v>192</v>
      </c>
      <c r="E1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view</vt:lpstr>
      <vt:lpstr>rough</vt:lpstr>
      <vt:lpstr>final</vt:lpstr>
      <vt:lpstr>converation</vt:lpstr>
      <vt:lpstr>js_to bedone</vt:lpstr>
      <vt:lpstr>database_to be 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2024-05-29T10:52:46Z</dcterms:created>
  <dcterms:modified xsi:type="dcterms:W3CDTF">2024-06-15T08:31:02Z</dcterms:modified>
</cp:coreProperties>
</file>