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금융연수원\농협은행\"/>
    </mc:Choice>
  </mc:AlternateContent>
  <xr:revisionPtr revIDLastSave="0" documentId="13_ncr:1_{7D285A63-01E0-4ADA-B1A3-F00E5A0C3A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39" i="1"/>
  <c r="D39" i="1"/>
  <c r="C32" i="1"/>
  <c r="D32" i="1"/>
  <c r="M21" i="1"/>
  <c r="M22" i="1"/>
  <c r="M20" i="1"/>
  <c r="L21" i="1"/>
  <c r="L22" i="1"/>
  <c r="L20" i="1"/>
  <c r="C21" i="1"/>
  <c r="C22" i="1"/>
  <c r="C20" i="1"/>
  <c r="D23" i="1"/>
  <c r="J10" i="1"/>
  <c r="B14" i="1"/>
  <c r="B15" i="1" s="1"/>
  <c r="G14" i="1"/>
  <c r="M23" i="1" l="1"/>
  <c r="L23" i="1"/>
  <c r="C23" i="1"/>
  <c r="F14" i="1"/>
  <c r="B53" i="1"/>
  <c r="B54" i="1" s="1"/>
  <c r="B39" i="1"/>
  <c r="B32" i="1"/>
  <c r="C14" i="1"/>
  <c r="C15" i="1" s="1"/>
  <c r="F3" i="1"/>
  <c r="B4" i="1"/>
  <c r="F4" i="1" s="1"/>
  <c r="G4" i="1" s="1"/>
  <c r="H3" i="1" l="1"/>
  <c r="G3" i="1"/>
  <c r="C5" i="1"/>
  <c r="F5" i="1"/>
  <c r="I3" i="1" l="1"/>
  <c r="C6" i="1" s="1"/>
  <c r="D6" i="1" s="1"/>
</calcChain>
</file>

<file path=xl/sharedStrings.xml><?xml version="1.0" encoding="utf-8"?>
<sst xmlns="http://schemas.openxmlformats.org/spreadsheetml/2006/main" count="97" uniqueCount="70">
  <si>
    <t>자 산</t>
  </si>
  <si>
    <t>기대수익률</t>
  </si>
  <si>
    <t>투자비중</t>
  </si>
  <si>
    <t>A</t>
  </si>
  <si>
    <t>B</t>
  </si>
  <si>
    <t>상관계수</t>
    <phoneticPr fontId="2" type="noConversion"/>
  </si>
  <si>
    <t>포트폴리오 기대수익률</t>
    <phoneticPr fontId="2" type="noConversion"/>
  </si>
  <si>
    <t>표준편차(σ)</t>
    <phoneticPr fontId="2" type="noConversion"/>
  </si>
  <si>
    <t>Wσ</t>
    <phoneticPr fontId="2" type="noConversion"/>
  </si>
  <si>
    <t>포트폴리오 표준편차</t>
    <phoneticPr fontId="2" type="noConversion"/>
  </si>
  <si>
    <r>
      <t>포트폴리오 분산(σ</t>
    </r>
    <r>
      <rPr>
        <vertAlign val="superscript"/>
        <sz val="10.5"/>
        <color theme="1"/>
        <rFont val="바탕"/>
        <family val="1"/>
        <charset val="129"/>
      </rPr>
      <t>2</t>
    </r>
    <r>
      <rPr>
        <sz val="10.5"/>
        <color theme="1"/>
        <rFont val="바탕"/>
        <family val="1"/>
        <charset val="129"/>
      </rPr>
      <t>)</t>
    </r>
    <phoneticPr fontId="2" type="noConversion"/>
  </si>
  <si>
    <t>최저수익률</t>
    <phoneticPr fontId="2" type="noConversion"/>
  </si>
  <si>
    <t>평균수익률</t>
    <phoneticPr fontId="2" type="noConversion"/>
  </si>
  <si>
    <t>표준편차</t>
    <phoneticPr fontId="2" type="noConversion"/>
  </si>
  <si>
    <r>
      <t xml:space="preserve">표준정규변수 </t>
    </r>
    <r>
      <rPr>
        <sz val="10"/>
        <color rgb="FF000000"/>
        <rFont val="맑은 고딕"/>
        <family val="3"/>
        <charset val="129"/>
        <scheme val="minor"/>
      </rPr>
      <t>Z</t>
    </r>
    <r>
      <rPr>
        <vertAlign val="subscript"/>
        <sz val="10"/>
        <color rgb="FF000000"/>
        <rFont val="KoPub바탕체 Light"/>
        <family val="3"/>
        <charset val="129"/>
      </rPr>
      <t>α</t>
    </r>
    <phoneticPr fontId="2" type="noConversion"/>
  </si>
  <si>
    <t xml:space="preserve"> Zα</t>
  </si>
  <si>
    <t>기대효용</t>
    <phoneticPr fontId="2" type="noConversion"/>
  </si>
  <si>
    <t>기대수익률</t>
    <phoneticPr fontId="2" type="noConversion"/>
  </si>
  <si>
    <t>위험회피계수</t>
    <phoneticPr fontId="2" type="noConversion"/>
  </si>
  <si>
    <t>샤프지수</t>
    <phoneticPr fontId="2" type="noConversion"/>
  </si>
  <si>
    <t>실현수익률</t>
    <phoneticPr fontId="2" type="noConversion"/>
  </si>
  <si>
    <t>무위험 R</t>
    <phoneticPr fontId="2" type="noConversion"/>
  </si>
  <si>
    <t>트레이너지수</t>
    <phoneticPr fontId="2" type="noConversion"/>
  </si>
  <si>
    <t>베타</t>
    <phoneticPr fontId="2" type="noConversion"/>
  </si>
  <si>
    <t>젠센알파</t>
  </si>
  <si>
    <t>젠센알파</t>
    <phoneticPr fontId="2" type="noConversion"/>
  </si>
  <si>
    <t>시장수익률</t>
    <phoneticPr fontId="2" type="noConversion"/>
  </si>
  <si>
    <t>(Wσ)^2</t>
    <phoneticPr fontId="2" type="noConversion"/>
  </si>
  <si>
    <r>
      <t>2WaσaWbσb</t>
    </r>
    <r>
      <rPr>
        <sz val="10.5"/>
        <color theme="1"/>
        <rFont val="바탕"/>
        <family val="3"/>
        <charset val="129"/>
      </rPr>
      <t>ρab</t>
    </r>
    <phoneticPr fontId="2" type="noConversion"/>
  </si>
  <si>
    <t>합계</t>
  </si>
  <si>
    <t>누적확률</t>
    <phoneticPr fontId="2" type="noConversion"/>
  </si>
  <si>
    <t>Z</t>
    <phoneticPr fontId="2" type="noConversion"/>
  </si>
  <si>
    <t>포트폴리오 기대수익률, 위험계산</t>
    <phoneticPr fontId="2" type="noConversion"/>
  </si>
  <si>
    <t>p. 107-109</t>
    <phoneticPr fontId="2" type="noConversion"/>
  </si>
  <si>
    <t>A</t>
    <phoneticPr fontId="2" type="noConversion"/>
  </si>
  <si>
    <t>B</t>
    <phoneticPr fontId="2" type="noConversion"/>
  </si>
  <si>
    <t>p.133</t>
    <phoneticPr fontId="2" type="noConversion"/>
  </si>
  <si>
    <t>p.131-133</t>
    <phoneticPr fontId="2" type="noConversion"/>
  </si>
  <si>
    <t>shortfall risk</t>
    <phoneticPr fontId="2" type="noConversion"/>
  </si>
  <si>
    <t>단순가중위험</t>
    <phoneticPr fontId="2" type="noConversion"/>
  </si>
  <si>
    <t>누적확률에 따른 Z값</t>
    <phoneticPr fontId="2" type="noConversion"/>
  </si>
  <si>
    <t>금액가중수익률</t>
    <phoneticPr fontId="2" type="noConversion"/>
  </si>
  <si>
    <t>연도</t>
    <phoneticPr fontId="2" type="noConversion"/>
  </si>
  <si>
    <t>펀드기준가</t>
    <phoneticPr fontId="2" type="noConversion"/>
  </si>
  <si>
    <t>기간수익률</t>
    <phoneticPr fontId="2" type="noConversion"/>
  </si>
  <si>
    <t>시간가중수익률</t>
    <phoneticPr fontId="2" type="noConversion"/>
  </si>
  <si>
    <t>입금</t>
    <phoneticPr fontId="2" type="noConversion"/>
  </si>
  <si>
    <t>평가액</t>
    <phoneticPr fontId="2" type="noConversion"/>
  </si>
  <si>
    <t>시간가중수익률과 금액가중수익률 p.164-166</t>
    <phoneticPr fontId="2" type="noConversion"/>
  </si>
  <si>
    <t>현금흐름</t>
    <phoneticPr fontId="2" type="noConversion"/>
  </si>
  <si>
    <t>포트폴리오 성과분석(p.187-188)</t>
    <phoneticPr fontId="2" type="noConversion"/>
  </si>
  <si>
    <t>구분</t>
  </si>
  <si>
    <t>포트폴리오</t>
  </si>
  <si>
    <t>벤치마크</t>
  </si>
  <si>
    <t>수익률</t>
  </si>
  <si>
    <t>주식</t>
  </si>
  <si>
    <t>채권</t>
  </si>
  <si>
    <t>현금성자산</t>
  </si>
  <si>
    <t xml:space="preserve">자산배분효과 </t>
    <phoneticPr fontId="2" type="noConversion"/>
  </si>
  <si>
    <t xml:space="preserve">증권선택효과 </t>
    <phoneticPr fontId="2" type="noConversion"/>
  </si>
  <si>
    <t>위험조정성과평가(p. 190-195)</t>
    <phoneticPr fontId="2" type="noConversion"/>
  </si>
  <si>
    <t>시장</t>
    <phoneticPr fontId="2" type="noConversion"/>
  </si>
  <si>
    <t>실무사례집(p.59)</t>
    <phoneticPr fontId="2" type="noConversion"/>
  </si>
  <si>
    <t>정보비율</t>
    <phoneticPr fontId="2" type="noConversion"/>
  </si>
  <si>
    <t>벤치마크</t>
    <phoneticPr fontId="2" type="noConversion"/>
  </si>
  <si>
    <t>TE 표준편차</t>
    <phoneticPr fontId="2" type="noConversion"/>
  </si>
  <si>
    <t>실현수익률-기대(요구)수익률</t>
    <phoneticPr fontId="2" type="noConversion"/>
  </si>
  <si>
    <t>CAPM에 의한 기대(요구)수익률</t>
    <phoneticPr fontId="2" type="noConversion"/>
  </si>
  <si>
    <t>상관계수값을 +1~-1 사이 값으로 변경해보고 포트폴리오의 표준편차 값이 변하는 것을 확인하세요</t>
    <phoneticPr fontId="2" type="noConversion"/>
  </si>
  <si>
    <t>값이 양수인지 음수인지 확인하세요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</si>
</sst>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76" formatCode="#,##0.00_ "/>
    <numFmt numFmtId="177" formatCode="0.0000"/>
    <numFmt numFmtId="178" formatCode="0.0000_ "/>
    <numFmt numFmtId="179" formatCode="0.0%"/>
    <numFmt numFmtId="180" formatCode="_-* #,##0.00_-;\-* #,##0.00_-;_-* &quot;-&quot;_-;_-@_-"/>
    <numFmt numFmtId="181" formatCode="_-* #,##0.0000_-;\-* #,##0.0000_-;_-* &quot;-&quot;_-;_-@_-"/>
    <numFmt numFmtId="182" formatCode="#,##0.0000_ "/>
    <numFmt numFmtId="183" formatCode="0.0000%"/>
    <numFmt numFmtId="184" formatCode="0.000%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.5"/>
      <color theme="1"/>
      <name val="바탕"/>
      <family val="1"/>
      <charset val="129"/>
    </font>
    <font>
      <sz val="10.5"/>
      <color rgb="FF000000"/>
      <name val="바탕"/>
      <family val="1"/>
      <charset val="129"/>
    </font>
    <font>
      <vertAlign val="superscript"/>
      <sz val="10.5"/>
      <color theme="1"/>
      <name val="바탕"/>
      <family val="1"/>
      <charset val="129"/>
    </font>
    <font>
      <sz val="10"/>
      <color theme="1"/>
      <name val="바탕"/>
      <family val="1"/>
      <charset val="129"/>
    </font>
    <font>
      <sz val="11"/>
      <color theme="1"/>
      <name val="바탕"/>
      <family val="1"/>
      <charset val="129"/>
    </font>
    <font>
      <b/>
      <sz val="11"/>
      <color theme="1"/>
      <name val="바탕"/>
      <family val="1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KoPub바탕체 Light"/>
      <family val="3"/>
      <charset val="129"/>
    </font>
    <font>
      <vertAlign val="subscript"/>
      <sz val="10"/>
      <color rgb="FF000000"/>
      <name val="KoPub바탕체 Light"/>
      <family val="3"/>
      <charset val="129"/>
    </font>
    <font>
      <sz val="10.5"/>
      <color theme="1"/>
      <name val="바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-윤명조120"/>
      <family val="3"/>
      <charset val="129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179" fontId="0" fillId="0" borderId="0" xfId="2" applyNumberFormat="1" applyFont="1">
      <alignment vertical="center"/>
    </xf>
    <xf numFmtId="0" fontId="6" fillId="0" borderId="0" xfId="0" applyFont="1">
      <alignment vertical="center"/>
    </xf>
    <xf numFmtId="10" fontId="7" fillId="0" borderId="0" xfId="0" applyNumberFormat="1" applyFont="1">
      <alignment vertical="center"/>
    </xf>
    <xf numFmtId="0" fontId="7" fillId="0" borderId="0" xfId="0" applyFont="1">
      <alignment vertical="center"/>
    </xf>
    <xf numFmtId="177" fontId="7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180" fontId="0" fillId="0" borderId="0" xfId="1" applyNumberFormat="1" applyFont="1">
      <alignment vertical="center"/>
    </xf>
    <xf numFmtId="179" fontId="0" fillId="0" borderId="0" xfId="0" applyNumberFormat="1">
      <alignment vertical="center"/>
    </xf>
    <xf numFmtId="41" fontId="0" fillId="0" borderId="0" xfId="1" applyFont="1">
      <alignment vertical="center"/>
    </xf>
    <xf numFmtId="184" fontId="0" fillId="0" borderId="0" xfId="0" applyNumberForma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83" fontId="0" fillId="0" borderId="0" xfId="0" applyNumberFormat="1">
      <alignment vertical="center"/>
    </xf>
    <xf numFmtId="0" fontId="10" fillId="0" borderId="0" xfId="0" applyFont="1" applyBorder="1" applyAlignment="1">
      <alignment horizontal="center" vertical="center"/>
    </xf>
    <xf numFmtId="10" fontId="0" fillId="0" borderId="0" xfId="2" applyNumberFormat="1" applyFont="1">
      <alignment vertical="center"/>
    </xf>
    <xf numFmtId="0" fontId="0" fillId="0" borderId="0" xfId="0" applyFill="1" applyBorder="1">
      <alignment vertical="center"/>
    </xf>
    <xf numFmtId="0" fontId="14" fillId="0" borderId="2" xfId="0" applyFont="1" applyBorder="1" applyAlignment="1">
      <alignment horizontal="center" vertical="center" wrapText="1"/>
    </xf>
    <xf numFmtId="9" fontId="13" fillId="0" borderId="2" xfId="0" applyNumberFormat="1" applyFont="1" applyBorder="1" applyAlignment="1">
      <alignment horizontal="center" vertical="center" wrapText="1"/>
    </xf>
    <xf numFmtId="10" fontId="13" fillId="0" borderId="2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181" fontId="0" fillId="0" borderId="0" xfId="1" applyNumberFormat="1" applyFont="1" applyBorder="1">
      <alignment vertical="center"/>
    </xf>
    <xf numFmtId="180" fontId="0" fillId="0" borderId="0" xfId="1" applyNumberFormat="1" applyFont="1" applyBorder="1">
      <alignment vertical="center"/>
    </xf>
    <xf numFmtId="0" fontId="15" fillId="0" borderId="0" xfId="0" applyFont="1">
      <alignment vertical="center"/>
    </xf>
    <xf numFmtId="176" fontId="3" fillId="3" borderId="1" xfId="1" applyNumberFormat="1" applyFont="1" applyFill="1" applyBorder="1" applyAlignment="1">
      <alignment horizontal="center" vertical="center" wrapText="1"/>
    </xf>
    <xf numFmtId="10" fontId="8" fillId="3" borderId="0" xfId="2" applyNumberFormat="1" applyFont="1" applyFill="1">
      <alignment vertical="center"/>
    </xf>
    <xf numFmtId="10" fontId="0" fillId="3" borderId="0" xfId="2" applyNumberFormat="1" applyFont="1" applyFill="1">
      <alignment vertical="center"/>
    </xf>
    <xf numFmtId="184" fontId="0" fillId="3" borderId="0" xfId="0" applyNumberFormat="1" applyFill="1">
      <alignment vertical="center"/>
    </xf>
    <xf numFmtId="182" fontId="0" fillId="3" borderId="1" xfId="1" applyNumberFormat="1" applyFont="1" applyFill="1" applyBorder="1">
      <alignment vertical="center"/>
    </xf>
    <xf numFmtId="183" fontId="0" fillId="3" borderId="1" xfId="0" applyNumberFormat="1" applyFill="1" applyBorder="1">
      <alignment vertical="center"/>
    </xf>
    <xf numFmtId="181" fontId="0" fillId="3" borderId="1" xfId="1" applyNumberFormat="1" applyFont="1" applyFill="1" applyBorder="1">
      <alignment vertical="center"/>
    </xf>
    <xf numFmtId="179" fontId="0" fillId="3" borderId="1" xfId="0" applyNumberFormat="1" applyFill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zoomScale="150" zoomScaleNormal="150" workbookViewId="0">
      <selection activeCell="C1" sqref="C1"/>
    </sheetView>
  </sheetViews>
  <sheetFormatPr defaultRowHeight="16.5"/>
  <cols>
    <col min="1" max="1" width="11.5" customWidth="1"/>
    <col min="2" max="2" width="15.375" customWidth="1"/>
    <col min="3" max="3" width="11" customWidth="1"/>
    <col min="4" max="4" width="12.125" customWidth="1"/>
    <col min="5" max="5" width="11.75" customWidth="1"/>
    <col min="7" max="7" width="10.625" customWidth="1"/>
    <col min="8" max="8" width="15" customWidth="1"/>
    <col min="9" max="9" width="18.375" bestFit="1" customWidth="1"/>
    <col min="12" max="12" width="12.625" customWidth="1"/>
    <col min="13" max="13" width="13.75" bestFit="1" customWidth="1"/>
  </cols>
  <sheetData>
    <row r="1" spans="1:10">
      <c r="A1" t="s">
        <v>32</v>
      </c>
      <c r="D1" t="s">
        <v>33</v>
      </c>
      <c r="E1" s="38" t="s">
        <v>68</v>
      </c>
    </row>
    <row r="2" spans="1:10" ht="20.25" customHeight="1">
      <c r="A2" s="3" t="s">
        <v>0</v>
      </c>
      <c r="B2" s="3" t="s">
        <v>2</v>
      </c>
      <c r="C2" s="3" t="s">
        <v>1</v>
      </c>
      <c r="D2" s="3" t="s">
        <v>7</v>
      </c>
      <c r="E2" s="3" t="s">
        <v>5</v>
      </c>
      <c r="F2" s="3" t="s">
        <v>8</v>
      </c>
      <c r="G2" s="3" t="s">
        <v>27</v>
      </c>
      <c r="H2" s="3" t="s">
        <v>28</v>
      </c>
      <c r="I2" s="3" t="s">
        <v>10</v>
      </c>
    </row>
    <row r="3" spans="1:10">
      <c r="A3" s="4" t="s">
        <v>3</v>
      </c>
      <c r="B3" s="5">
        <v>0.6</v>
      </c>
      <c r="C3" s="5">
        <v>0.05</v>
      </c>
      <c r="D3" s="5">
        <v>0.04</v>
      </c>
      <c r="E3" s="39">
        <v>0.1</v>
      </c>
      <c r="F3" s="10">
        <f>D3*B3</f>
        <v>2.4E-2</v>
      </c>
      <c r="G3" s="11">
        <f>+F3^2</f>
        <v>5.7600000000000001E-4</v>
      </c>
      <c r="H3" s="12">
        <f>2*F3*F4*E3</f>
        <v>2.8800000000000001E-4</v>
      </c>
      <c r="I3" s="13">
        <f>G3+G4+H3</f>
        <v>4.4640000000000001E-3</v>
      </c>
    </row>
    <row r="4" spans="1:10">
      <c r="A4" s="6" t="s">
        <v>4</v>
      </c>
      <c r="B4" s="5">
        <f>1-B3</f>
        <v>0.4</v>
      </c>
      <c r="C4" s="5">
        <v>0.1</v>
      </c>
      <c r="D4" s="5">
        <v>0.15</v>
      </c>
      <c r="E4" s="7"/>
      <c r="F4" s="10">
        <f>D4*B4</f>
        <v>0.06</v>
      </c>
      <c r="G4" s="11">
        <f>+F4^2</f>
        <v>3.5999999999999999E-3</v>
      </c>
      <c r="H4" s="11"/>
      <c r="I4" s="11"/>
    </row>
    <row r="5" spans="1:10">
      <c r="A5" s="9" t="s">
        <v>6</v>
      </c>
      <c r="B5" s="10"/>
      <c r="C5" s="14">
        <f>C3*B3+C4*B4</f>
        <v>7.0000000000000007E-2</v>
      </c>
      <c r="D5" s="10"/>
      <c r="E5" s="11"/>
      <c r="F5" s="14">
        <f>SUM(F3:F4)</f>
        <v>8.3999999999999991E-2</v>
      </c>
      <c r="G5" s="11" t="s">
        <v>39</v>
      </c>
      <c r="H5" s="11"/>
      <c r="I5" s="11"/>
    </row>
    <row r="6" spans="1:10">
      <c r="A6" s="9" t="s">
        <v>9</v>
      </c>
      <c r="B6" s="10"/>
      <c r="C6" s="15">
        <f>SQRT(I3)</f>
        <v>6.6813172353960268E-2</v>
      </c>
      <c r="D6" s="40">
        <f>C6</f>
        <v>6.6813172353960268E-2</v>
      </c>
      <c r="E6" s="11"/>
      <c r="F6" s="11"/>
      <c r="G6" s="11"/>
      <c r="H6" s="11"/>
      <c r="I6" s="11"/>
    </row>
    <row r="7" spans="1:10">
      <c r="B7" s="1"/>
    </row>
    <row r="9" spans="1:10">
      <c r="A9" s="20" t="s">
        <v>14</v>
      </c>
      <c r="B9" s="20"/>
      <c r="C9" t="s">
        <v>36</v>
      </c>
      <c r="E9" s="21" t="s">
        <v>16</v>
      </c>
      <c r="F9" s="21"/>
      <c r="G9" t="s">
        <v>37</v>
      </c>
      <c r="I9" t="s">
        <v>30</v>
      </c>
      <c r="J9" s="2">
        <v>0.2</v>
      </c>
    </row>
    <row r="10" spans="1:10">
      <c r="A10" s="25"/>
      <c r="B10" s="22" t="s">
        <v>34</v>
      </c>
      <c r="C10" s="23" t="s">
        <v>35</v>
      </c>
      <c r="E10" s="22"/>
      <c r="F10" s="22" t="s">
        <v>34</v>
      </c>
      <c r="G10" s="23" t="s">
        <v>35</v>
      </c>
      <c r="I10" t="s">
        <v>31</v>
      </c>
      <c r="J10">
        <f>_xlfn.NORM.S.INV(J9)</f>
        <v>-0.84162123357291452</v>
      </c>
    </row>
    <row r="11" spans="1:10">
      <c r="A11" t="s">
        <v>11</v>
      </c>
      <c r="B11" s="2">
        <v>0</v>
      </c>
      <c r="C11" s="2">
        <v>0</v>
      </c>
      <c r="E11" t="s">
        <v>17</v>
      </c>
      <c r="F11" s="1">
        <v>5.3800000000000001E-2</v>
      </c>
      <c r="G11" s="1">
        <v>6.25E-2</v>
      </c>
      <c r="J11" t="s">
        <v>40</v>
      </c>
    </row>
    <row r="12" spans="1:10">
      <c r="A12" t="s">
        <v>12</v>
      </c>
      <c r="B12" s="1">
        <v>5.3800000000000001E-2</v>
      </c>
      <c r="C12" s="1">
        <v>6.25E-2</v>
      </c>
      <c r="E12" t="s">
        <v>13</v>
      </c>
      <c r="F12" s="24">
        <v>6.2317999999999998E-2</v>
      </c>
      <c r="G12" s="24">
        <v>8.1512000000000001E-2</v>
      </c>
    </row>
    <row r="13" spans="1:10">
      <c r="A13" t="s">
        <v>13</v>
      </c>
      <c r="B13" s="24">
        <v>6.2317999999999998E-2</v>
      </c>
      <c r="C13" s="24">
        <v>8.1512000000000001E-2</v>
      </c>
      <c r="E13" t="s">
        <v>18</v>
      </c>
      <c r="F13">
        <v>4</v>
      </c>
      <c r="G13">
        <v>4</v>
      </c>
    </row>
    <row r="14" spans="1:10">
      <c r="A14" s="7" t="s">
        <v>15</v>
      </c>
      <c r="B14" s="43">
        <f>(B11-B12)/B13</f>
        <v>-0.86331397028145962</v>
      </c>
      <c r="C14" s="43">
        <f>(C11-C12)/C13</f>
        <v>-0.76675826872116992</v>
      </c>
      <c r="E14" s="7" t="s">
        <v>16</v>
      </c>
      <c r="F14" s="44">
        <f>F11-0.5*F13*F12^2</f>
        <v>4.6032933752000002E-2</v>
      </c>
      <c r="G14" s="44">
        <f>G11-0.5*G13*G12^2</f>
        <v>4.9211587712000002E-2</v>
      </c>
    </row>
    <row r="15" spans="1:10">
      <c r="A15" s="27" t="s">
        <v>38</v>
      </c>
      <c r="B15" s="26">
        <f>_xlfn.NORM.S.DIST(B14,TRUE)</f>
        <v>0.19398243259269171</v>
      </c>
      <c r="C15" s="26">
        <f>_xlfn.NORM.S.DIST(C14,TRUE)</f>
        <v>0.22161262614059826</v>
      </c>
    </row>
    <row r="17" spans="1:13">
      <c r="A17" t="s">
        <v>48</v>
      </c>
      <c r="G17" t="s">
        <v>50</v>
      </c>
    </row>
    <row r="18" spans="1:13">
      <c r="A18" t="s">
        <v>42</v>
      </c>
      <c r="B18" t="s">
        <v>43</v>
      </c>
      <c r="C18" t="s">
        <v>44</v>
      </c>
      <c r="D18" t="s">
        <v>49</v>
      </c>
      <c r="G18" s="31" t="s">
        <v>51</v>
      </c>
      <c r="H18" s="33" t="s">
        <v>52</v>
      </c>
      <c r="I18" s="34"/>
      <c r="J18" s="33" t="s">
        <v>53</v>
      </c>
      <c r="K18" s="34"/>
      <c r="L18" t="s">
        <v>58</v>
      </c>
      <c r="M18" t="s">
        <v>59</v>
      </c>
    </row>
    <row r="19" spans="1:13">
      <c r="A19">
        <v>0</v>
      </c>
      <c r="B19" s="18">
        <v>1000</v>
      </c>
      <c r="D19" s="18">
        <v>-10000000</v>
      </c>
      <c r="E19" t="s">
        <v>46</v>
      </c>
      <c r="G19" s="32"/>
      <c r="H19" s="28" t="s">
        <v>2</v>
      </c>
      <c r="I19" s="28" t="s">
        <v>54</v>
      </c>
      <c r="J19" s="28" t="s">
        <v>2</v>
      </c>
      <c r="K19" s="28" t="s">
        <v>54</v>
      </c>
    </row>
    <row r="20" spans="1:13">
      <c r="A20">
        <v>1</v>
      </c>
      <c r="B20" s="18">
        <v>1100</v>
      </c>
      <c r="C20" s="26">
        <f>+(B20-B19)/B19</f>
        <v>0.1</v>
      </c>
      <c r="D20" s="18">
        <v>-11000000</v>
      </c>
      <c r="E20" t="s">
        <v>46</v>
      </c>
      <c r="G20" s="28" t="s">
        <v>55</v>
      </c>
      <c r="H20" s="29">
        <v>0.45</v>
      </c>
      <c r="I20" s="30">
        <v>6.3E-2</v>
      </c>
      <c r="J20" s="29">
        <v>0.3</v>
      </c>
      <c r="K20" s="30">
        <v>0.06</v>
      </c>
      <c r="L20" s="24">
        <f>(H20-J20)*(K20-$K$23)</f>
        <v>3.3450000000000008E-3</v>
      </c>
      <c r="M20" s="24">
        <f>(I20-K20)*H20</f>
        <v>1.3500000000000012E-3</v>
      </c>
    </row>
    <row r="21" spans="1:13">
      <c r="A21">
        <v>2</v>
      </c>
      <c r="B21" s="18">
        <v>1320</v>
      </c>
      <c r="C21" s="26">
        <f t="shared" ref="C21:C22" si="0">+(B21-B20)/B20</f>
        <v>0.2</v>
      </c>
      <c r="D21" s="18">
        <v>-132000000</v>
      </c>
      <c r="E21" t="s">
        <v>46</v>
      </c>
      <c r="G21" s="28" t="s">
        <v>56</v>
      </c>
      <c r="H21" s="29">
        <v>0.5</v>
      </c>
      <c r="I21" s="30">
        <v>2.9000000000000001E-2</v>
      </c>
      <c r="J21" s="29">
        <v>0.6</v>
      </c>
      <c r="K21" s="30">
        <v>0.03</v>
      </c>
      <c r="L21" s="24">
        <f t="shared" ref="L21:L22" si="1">(H21-J21)*(K21-$K$23)</f>
        <v>7.6999999999999963E-4</v>
      </c>
      <c r="M21" s="24">
        <f t="shared" ref="M21:M22" si="2">(I21-K21)*H21</f>
        <v>-4.9999999999999871E-4</v>
      </c>
    </row>
    <row r="22" spans="1:13" ht="18.75" customHeight="1">
      <c r="A22">
        <v>3</v>
      </c>
      <c r="B22" s="18">
        <v>1188</v>
      </c>
      <c r="C22" s="26">
        <f t="shared" si="0"/>
        <v>-0.1</v>
      </c>
      <c r="D22" s="18">
        <v>142560000</v>
      </c>
      <c r="E22" t="s">
        <v>47</v>
      </c>
      <c r="G22" s="28" t="s">
        <v>57</v>
      </c>
      <c r="H22" s="29">
        <v>0.05</v>
      </c>
      <c r="I22" s="30">
        <v>1.9E-2</v>
      </c>
      <c r="J22" s="29">
        <v>0.1</v>
      </c>
      <c r="K22" s="30">
        <v>1.7000000000000001E-2</v>
      </c>
      <c r="L22" s="24">
        <f t="shared" si="1"/>
        <v>1.0349999999999999E-3</v>
      </c>
      <c r="M22" s="24">
        <f t="shared" si="2"/>
        <v>9.9999999999999923E-5</v>
      </c>
    </row>
    <row r="23" spans="1:13">
      <c r="B23" s="19" t="s">
        <v>45</v>
      </c>
      <c r="C23" s="41">
        <f>((1+C20)*(1+C21)*(1+C22))^(1/3)-1</f>
        <v>5.9104500597819021E-2</v>
      </c>
      <c r="D23" s="42">
        <f>IRR(D19:D22)</f>
        <v>-5.7464630134328565E-2</v>
      </c>
      <c r="E23" t="s">
        <v>41</v>
      </c>
      <c r="G23" s="28" t="s">
        <v>29</v>
      </c>
      <c r="H23" s="29">
        <v>1</v>
      </c>
      <c r="I23" s="30">
        <v>4.3799999999999999E-2</v>
      </c>
      <c r="J23" s="29">
        <v>1</v>
      </c>
      <c r="K23" s="30">
        <v>3.7699999999999997E-2</v>
      </c>
      <c r="L23" s="24">
        <f>SUM(L20:L22)</f>
        <v>5.1500000000000001E-3</v>
      </c>
      <c r="M23" s="24">
        <f>SUM(M20:M22)</f>
        <v>9.5000000000000238E-4</v>
      </c>
    </row>
    <row r="24" spans="1:13">
      <c r="B24" s="19"/>
      <c r="C24" s="26"/>
      <c r="D24" s="19"/>
      <c r="L24" t="s">
        <v>69</v>
      </c>
    </row>
    <row r="25" spans="1:13">
      <c r="A25" t="s">
        <v>60</v>
      </c>
      <c r="B25" s="19"/>
      <c r="C25" s="26"/>
      <c r="D25" s="19"/>
    </row>
    <row r="27" spans="1:13">
      <c r="A27" s="21" t="s">
        <v>19</v>
      </c>
      <c r="B27" s="21"/>
    </row>
    <row r="28" spans="1:13">
      <c r="A28" s="22"/>
      <c r="B28" s="22" t="s">
        <v>34</v>
      </c>
      <c r="C28" s="23" t="s">
        <v>35</v>
      </c>
      <c r="D28" s="23" t="s">
        <v>61</v>
      </c>
    </row>
    <row r="29" spans="1:13">
      <c r="A29" t="s">
        <v>20</v>
      </c>
      <c r="B29" s="17">
        <v>0.13500000000000001</v>
      </c>
      <c r="C29" s="1">
        <v>0.14499999999999999</v>
      </c>
      <c r="D29" s="1">
        <v>0.12</v>
      </c>
      <c r="H29" s="18"/>
    </row>
    <row r="30" spans="1:13">
      <c r="A30" t="s">
        <v>21</v>
      </c>
      <c r="B30" s="2">
        <v>0.02</v>
      </c>
      <c r="C30" s="2">
        <v>0.02</v>
      </c>
      <c r="D30" s="2">
        <v>0.02</v>
      </c>
      <c r="H30" s="18"/>
    </row>
    <row r="31" spans="1:13">
      <c r="A31" t="s">
        <v>13</v>
      </c>
      <c r="B31" s="2">
        <v>0.18</v>
      </c>
      <c r="C31" s="2">
        <v>0.22</v>
      </c>
      <c r="D31" s="2">
        <v>0.16</v>
      </c>
      <c r="H31" s="18"/>
    </row>
    <row r="32" spans="1:13">
      <c r="A32" s="7" t="s">
        <v>19</v>
      </c>
      <c r="B32" s="45">
        <f>(B29-B30)/B31</f>
        <v>0.63888888888888895</v>
      </c>
      <c r="C32" s="45">
        <f t="shared" ref="C32:D32" si="3">(C29-C30)/C31</f>
        <v>0.56818181818181812</v>
      </c>
      <c r="D32" s="45">
        <f t="shared" si="3"/>
        <v>0.62499999999999989</v>
      </c>
      <c r="H32" s="18"/>
    </row>
    <row r="33" spans="1:10">
      <c r="A33" s="35"/>
      <c r="B33" s="36"/>
      <c r="C33" s="36"/>
      <c r="D33" s="36"/>
      <c r="H33" s="18"/>
      <c r="I33" s="35"/>
      <c r="J33" s="36"/>
    </row>
    <row r="34" spans="1:10">
      <c r="A34" s="21" t="s">
        <v>22</v>
      </c>
      <c r="B34" s="21"/>
      <c r="C34" s="36"/>
      <c r="D34" s="36"/>
      <c r="H34" s="18"/>
      <c r="I34" s="35"/>
      <c r="J34" s="36"/>
    </row>
    <row r="35" spans="1:10">
      <c r="A35" s="22"/>
      <c r="B35" s="22" t="s">
        <v>34</v>
      </c>
      <c r="C35" s="23" t="s">
        <v>35</v>
      </c>
      <c r="D35" s="23" t="s">
        <v>61</v>
      </c>
      <c r="H35" s="18"/>
      <c r="I35" s="35"/>
      <c r="J35" s="36"/>
    </row>
    <row r="36" spans="1:10">
      <c r="A36" t="s">
        <v>20</v>
      </c>
      <c r="B36" s="17">
        <v>0.13500000000000001</v>
      </c>
      <c r="C36" s="1">
        <v>0.14499999999999999</v>
      </c>
      <c r="D36" s="1">
        <v>0.12</v>
      </c>
      <c r="H36" s="18"/>
      <c r="I36" s="35"/>
      <c r="J36" s="36"/>
    </row>
    <row r="37" spans="1:10">
      <c r="A37" t="s">
        <v>21</v>
      </c>
      <c r="B37" s="2">
        <v>0.02</v>
      </c>
      <c r="C37" s="2">
        <v>0.02</v>
      </c>
      <c r="D37" s="2">
        <v>0.02</v>
      </c>
      <c r="H37" s="18"/>
      <c r="I37" s="35"/>
      <c r="J37" s="36"/>
    </row>
    <row r="38" spans="1:10">
      <c r="A38" t="s">
        <v>23</v>
      </c>
      <c r="B38" s="16">
        <v>1.1000000000000001</v>
      </c>
      <c r="C38" s="37">
        <v>1.25</v>
      </c>
      <c r="D38" s="37">
        <v>1</v>
      </c>
      <c r="H38" s="18"/>
      <c r="I38" s="35"/>
      <c r="J38" s="36"/>
    </row>
    <row r="39" spans="1:10">
      <c r="A39" s="7" t="s">
        <v>22</v>
      </c>
      <c r="B39" s="45">
        <f>(B36-B37)/B38</f>
        <v>0.10454545454545454</v>
      </c>
      <c r="C39" s="45">
        <f t="shared" ref="C39:D39" si="4">(C36-C37)/C38</f>
        <v>9.9999999999999992E-2</v>
      </c>
      <c r="D39" s="45">
        <f t="shared" si="4"/>
        <v>9.9999999999999992E-2</v>
      </c>
      <c r="H39" s="18"/>
      <c r="I39" s="35"/>
      <c r="J39" s="36"/>
    </row>
    <row r="40" spans="1:10">
      <c r="A40" s="35"/>
      <c r="B40" s="36"/>
      <c r="C40" s="36"/>
      <c r="D40" s="36"/>
      <c r="H40" s="18"/>
      <c r="I40" s="35"/>
      <c r="J40" s="36"/>
    </row>
    <row r="41" spans="1:10">
      <c r="A41" s="21" t="s">
        <v>63</v>
      </c>
      <c r="B41" s="21"/>
      <c r="C41" s="36"/>
      <c r="D41" s="36"/>
      <c r="H41" s="18"/>
      <c r="I41" s="35"/>
      <c r="J41" s="36"/>
    </row>
    <row r="42" spans="1:10">
      <c r="A42" s="22"/>
      <c r="B42" s="22" t="s">
        <v>34</v>
      </c>
      <c r="C42" s="23" t="s">
        <v>35</v>
      </c>
      <c r="D42" s="23"/>
      <c r="H42" s="18"/>
      <c r="I42" s="35"/>
      <c r="J42" s="36"/>
    </row>
    <row r="43" spans="1:10">
      <c r="A43" t="s">
        <v>20</v>
      </c>
      <c r="B43" s="17">
        <v>0.13500000000000001</v>
      </c>
      <c r="C43" s="1">
        <v>0.14499999999999999</v>
      </c>
      <c r="D43" s="1"/>
      <c r="H43" s="18"/>
      <c r="I43" s="35"/>
      <c r="J43" s="36"/>
    </row>
    <row r="44" spans="1:10">
      <c r="A44" t="s">
        <v>64</v>
      </c>
      <c r="B44" s="17">
        <v>0.12</v>
      </c>
      <c r="C44" s="17">
        <v>0.12</v>
      </c>
      <c r="D44" s="2"/>
      <c r="H44" s="18"/>
      <c r="I44" s="35"/>
      <c r="J44" s="36"/>
    </row>
    <row r="45" spans="1:10">
      <c r="A45" t="s">
        <v>65</v>
      </c>
      <c r="B45" s="8">
        <v>0.03</v>
      </c>
      <c r="C45" s="8">
        <v>4.4999999999999998E-2</v>
      </c>
      <c r="D45" s="37"/>
      <c r="H45" s="18"/>
      <c r="I45" s="35"/>
      <c r="J45" s="36"/>
    </row>
    <row r="46" spans="1:10">
      <c r="A46" s="7" t="s">
        <v>63</v>
      </c>
      <c r="B46" s="45">
        <f>(B43-B44)/B45</f>
        <v>0.50000000000000044</v>
      </c>
      <c r="C46" s="45">
        <f>(C43-C44)/C45</f>
        <v>0.55555555555555547</v>
      </c>
      <c r="G46" s="18"/>
      <c r="H46" s="35"/>
      <c r="I46" s="36"/>
    </row>
    <row r="47" spans="1:10">
      <c r="H47" s="19"/>
    </row>
    <row r="48" spans="1:10">
      <c r="A48" s="21" t="s">
        <v>25</v>
      </c>
      <c r="B48" s="21"/>
      <c r="C48" t="s">
        <v>62</v>
      </c>
    </row>
    <row r="49" spans="1:3">
      <c r="A49" t="s">
        <v>20</v>
      </c>
      <c r="B49" s="17">
        <v>0.125</v>
      </c>
    </row>
    <row r="50" spans="1:3">
      <c r="A50" t="s">
        <v>21</v>
      </c>
      <c r="B50" s="2">
        <v>0.03</v>
      </c>
    </row>
    <row r="51" spans="1:3">
      <c r="A51" t="s">
        <v>23</v>
      </c>
      <c r="B51" s="16">
        <v>1.5</v>
      </c>
    </row>
    <row r="52" spans="1:3">
      <c r="A52" t="s">
        <v>26</v>
      </c>
      <c r="B52" s="8">
        <v>0.1</v>
      </c>
    </row>
    <row r="53" spans="1:3">
      <c r="A53" t="s">
        <v>17</v>
      </c>
      <c r="B53" s="8">
        <f>B50+B51*(B52-B50)</f>
        <v>0.13500000000000001</v>
      </c>
      <c r="C53" t="s">
        <v>67</v>
      </c>
    </row>
    <row r="54" spans="1:3">
      <c r="A54" s="7" t="s">
        <v>24</v>
      </c>
      <c r="B54" s="46">
        <f>B49-B53</f>
        <v>-1.0000000000000009E-2</v>
      </c>
      <c r="C54" t="s">
        <v>66</v>
      </c>
    </row>
  </sheetData>
  <mergeCells count="9">
    <mergeCell ref="G18:G19"/>
    <mergeCell ref="H18:I18"/>
    <mergeCell ref="J18:K18"/>
    <mergeCell ref="A41:B41"/>
    <mergeCell ref="A9:B9"/>
    <mergeCell ref="E9:F9"/>
    <mergeCell ref="A27:B27"/>
    <mergeCell ref="A34:B34"/>
    <mergeCell ref="A48:B4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KORNU-USER</dc:creator>
  <cp:lastModifiedBy>User</cp:lastModifiedBy>
  <dcterms:created xsi:type="dcterms:W3CDTF">2021-10-27T07:59:50Z</dcterms:created>
  <dcterms:modified xsi:type="dcterms:W3CDTF">2023-06-02T11:43:37Z</dcterms:modified>
</cp:coreProperties>
</file>