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부산은행\"/>
    </mc:Choice>
  </mc:AlternateContent>
  <bookViews>
    <workbookView xWindow="12450" yWindow="150" windowWidth="11295" windowHeight="15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49" i="1" l="1"/>
  <c r="F47" i="1"/>
  <c r="F48" i="1"/>
  <c r="F46" i="1"/>
  <c r="F43" i="1"/>
  <c r="F41" i="1"/>
  <c r="F42" i="1"/>
  <c r="F40" i="1"/>
  <c r="J23" i="1"/>
  <c r="J22" i="1"/>
  <c r="H31" i="1"/>
  <c r="H27" i="1"/>
  <c r="H28" i="1"/>
  <c r="H29" i="1" s="1"/>
  <c r="J15" i="1"/>
  <c r="H24" i="1"/>
  <c r="H17" i="1"/>
  <c r="H18" i="1" s="1"/>
  <c r="H14" i="1"/>
  <c r="H15" i="1" s="1"/>
  <c r="H10" i="1"/>
  <c r="B37" i="1"/>
  <c r="E14" i="1" l="1"/>
  <c r="B29" i="1"/>
  <c r="B30" i="1" s="1"/>
  <c r="E22" i="1"/>
  <c r="B22" i="1"/>
  <c r="B14" i="1"/>
  <c r="B15" i="1" s="1"/>
  <c r="F3" i="1"/>
  <c r="B4" i="1"/>
  <c r="F4" i="1" s="1"/>
  <c r="G4" i="1" s="1"/>
  <c r="H3" i="1" l="1"/>
  <c r="G3" i="1"/>
  <c r="C5" i="1"/>
  <c r="F5" i="1"/>
  <c r="I3" i="1" l="1"/>
  <c r="C6" i="1" s="1"/>
  <c r="D6" i="1" s="1"/>
</calcChain>
</file>

<file path=xl/sharedStrings.xml><?xml version="1.0" encoding="utf-8"?>
<sst xmlns="http://schemas.openxmlformats.org/spreadsheetml/2006/main" count="57" uniqueCount="37">
  <si>
    <t>자 산</t>
  </si>
  <si>
    <t>기대수익률</t>
  </si>
  <si>
    <t>투자비중</t>
  </si>
  <si>
    <t>A</t>
  </si>
  <si>
    <t>B</t>
  </si>
  <si>
    <t>상관계수</t>
    <phoneticPr fontId="2" type="noConversion"/>
  </si>
  <si>
    <t>포트폴리오 기대수익률</t>
    <phoneticPr fontId="2" type="noConversion"/>
  </si>
  <si>
    <t>표준편차(σ)</t>
    <phoneticPr fontId="2" type="noConversion"/>
  </si>
  <si>
    <t>Wσ</t>
    <phoneticPr fontId="2" type="noConversion"/>
  </si>
  <si>
    <t>포트폴리오 표준편차</t>
    <phoneticPr fontId="2" type="noConversion"/>
  </si>
  <si>
    <r>
      <t>포트폴리오 분산(σ</t>
    </r>
    <r>
      <rPr>
        <vertAlign val="superscript"/>
        <sz val="10.5"/>
        <color theme="1"/>
        <rFont val="바탕"/>
        <family val="1"/>
        <charset val="129"/>
      </rPr>
      <t>2</t>
    </r>
    <r>
      <rPr>
        <sz val="10.5"/>
        <color theme="1"/>
        <rFont val="바탕"/>
        <family val="1"/>
        <charset val="129"/>
      </rPr>
      <t>)</t>
    </r>
    <phoneticPr fontId="2" type="noConversion"/>
  </si>
  <si>
    <t>최저수익률</t>
    <phoneticPr fontId="2" type="noConversion"/>
  </si>
  <si>
    <t>평균수익률</t>
    <phoneticPr fontId="2" type="noConversion"/>
  </si>
  <si>
    <t>표준편차</t>
    <phoneticPr fontId="2" type="noConversion"/>
  </si>
  <si>
    <r>
      <t xml:space="preserve">표준정규변수 </t>
    </r>
    <r>
      <rPr>
        <sz val="10"/>
        <color rgb="FF000000"/>
        <rFont val="맑은 고딕"/>
        <family val="3"/>
        <charset val="129"/>
        <scheme val="minor"/>
      </rPr>
      <t>Z</t>
    </r>
    <r>
      <rPr>
        <vertAlign val="subscript"/>
        <sz val="10"/>
        <color rgb="FF000000"/>
        <rFont val="KoPub바탕체 Light"/>
        <family val="3"/>
        <charset val="129"/>
      </rPr>
      <t>α</t>
    </r>
    <phoneticPr fontId="2" type="noConversion"/>
  </si>
  <si>
    <t xml:space="preserve"> Zα</t>
  </si>
  <si>
    <t>기대효용</t>
    <phoneticPr fontId="2" type="noConversion"/>
  </si>
  <si>
    <t>기대수익률</t>
    <phoneticPr fontId="2" type="noConversion"/>
  </si>
  <si>
    <t>위험회피계수</t>
    <phoneticPr fontId="2" type="noConversion"/>
  </si>
  <si>
    <t>샤프지수</t>
    <phoneticPr fontId="2" type="noConversion"/>
  </si>
  <si>
    <t>실현수익률</t>
    <phoneticPr fontId="2" type="noConversion"/>
  </si>
  <si>
    <t>무위험 R</t>
    <phoneticPr fontId="2" type="noConversion"/>
  </si>
  <si>
    <t>트레이너지수</t>
    <phoneticPr fontId="2" type="noConversion"/>
  </si>
  <si>
    <t>베타</t>
    <phoneticPr fontId="2" type="noConversion"/>
  </si>
  <si>
    <t>젠센알파</t>
  </si>
  <si>
    <t>젠센알파</t>
    <phoneticPr fontId="2" type="noConversion"/>
  </si>
  <si>
    <t>시장수익률</t>
    <phoneticPr fontId="2" type="noConversion"/>
  </si>
  <si>
    <t>(Wσ)^2</t>
    <phoneticPr fontId="2" type="noConversion"/>
  </si>
  <si>
    <r>
      <t>2WaσaWbσb</t>
    </r>
    <r>
      <rPr>
        <sz val="10.5"/>
        <color theme="1"/>
        <rFont val="바탕"/>
        <family val="3"/>
        <charset val="129"/>
      </rPr>
      <t>ρab</t>
    </r>
    <phoneticPr fontId="2" type="noConversion"/>
  </si>
  <si>
    <t>t</t>
  </si>
  <si>
    <t>미래현금흐름</t>
  </si>
  <si>
    <t>현재가치</t>
  </si>
  <si>
    <t>현재가치 비중</t>
  </si>
  <si>
    <t>t×비중</t>
  </si>
  <si>
    <t>합계</t>
  </si>
  <si>
    <t>기대효용 A</t>
    <phoneticPr fontId="2" type="noConversion"/>
  </si>
  <si>
    <t>기대효용 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</si>
</sst>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#,##0.00_ "/>
    <numFmt numFmtId="177" formatCode="0.0000"/>
    <numFmt numFmtId="178" formatCode="0.0000_ "/>
    <numFmt numFmtId="179" formatCode="0.0%"/>
    <numFmt numFmtId="180" formatCode="_-* #,##0.00_-;\-* #,##0.00_-;_-* &quot;-&quot;_-;_-@_-"/>
    <numFmt numFmtId="181" formatCode="_-* #,##0.0000_-;\-* #,##0.0000_-;_-* &quot;-&quot;_-;_-@_-"/>
    <numFmt numFmtId="182" formatCode="#,##0.0000_ "/>
    <numFmt numFmtId="183" formatCode="0.0000%"/>
    <numFmt numFmtId="184" formatCode="0.000%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바탕"/>
      <family val="1"/>
      <charset val="129"/>
    </font>
    <font>
      <sz val="10.5"/>
      <color rgb="FF000000"/>
      <name val="바탕"/>
      <family val="1"/>
      <charset val="129"/>
    </font>
    <font>
      <vertAlign val="superscript"/>
      <sz val="10.5"/>
      <color theme="1"/>
      <name val="바탕"/>
      <family val="1"/>
      <charset val="129"/>
    </font>
    <font>
      <sz val="10"/>
      <color theme="1"/>
      <name val="바탕"/>
      <family val="1"/>
      <charset val="129"/>
    </font>
    <font>
      <sz val="11"/>
      <color theme="1"/>
      <name val="바탕"/>
      <family val="1"/>
      <charset val="129"/>
    </font>
    <font>
      <b/>
      <sz val="11"/>
      <color theme="1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KoPub바탕체 Light"/>
      <family val="3"/>
      <charset val="129"/>
    </font>
    <font>
      <vertAlign val="subscript"/>
      <sz val="10"/>
      <color rgb="FF000000"/>
      <name val="KoPub바탕체 Light"/>
      <family val="3"/>
      <charset val="129"/>
    </font>
    <font>
      <sz val="10.5"/>
      <color theme="1"/>
      <name val="바탕"/>
      <family val="3"/>
      <charset val="129"/>
    </font>
    <font>
      <sz val="10"/>
      <color rgb="FF000000"/>
      <name val="KoPub돋움체 Light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5E5E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65656"/>
      </right>
      <top style="thick">
        <color rgb="FF565656"/>
      </top>
      <bottom style="thin">
        <color rgb="FF565656"/>
      </bottom>
      <diagonal/>
    </border>
    <border>
      <left style="thin">
        <color rgb="FF565656"/>
      </left>
      <right style="thin">
        <color rgb="FF565656"/>
      </right>
      <top style="thick">
        <color rgb="FF565656"/>
      </top>
      <bottom style="thin">
        <color rgb="FF565656"/>
      </bottom>
      <diagonal/>
    </border>
    <border>
      <left style="thin">
        <color rgb="FF565656"/>
      </left>
      <right/>
      <top style="thick">
        <color rgb="FF565656"/>
      </top>
      <bottom style="thin">
        <color rgb="FF565656"/>
      </bottom>
      <diagonal/>
    </border>
    <border>
      <left/>
      <right style="thin">
        <color rgb="FF565656"/>
      </right>
      <top style="thin">
        <color rgb="FF565656"/>
      </top>
      <bottom style="dotted">
        <color rgb="FF565656"/>
      </bottom>
      <diagonal/>
    </border>
    <border>
      <left style="thin">
        <color rgb="FF565656"/>
      </left>
      <right style="thin">
        <color rgb="FF565656"/>
      </right>
      <top style="thin">
        <color rgb="FF565656"/>
      </top>
      <bottom style="dotted">
        <color rgb="FF565656"/>
      </bottom>
      <diagonal/>
    </border>
    <border>
      <left style="thin">
        <color rgb="FF565656"/>
      </left>
      <right/>
      <top style="thin">
        <color rgb="FF565656"/>
      </top>
      <bottom style="dotted">
        <color rgb="FF565656"/>
      </bottom>
      <diagonal/>
    </border>
    <border>
      <left/>
      <right style="thin">
        <color rgb="FF565656"/>
      </right>
      <top style="dotted">
        <color rgb="FF565656"/>
      </top>
      <bottom style="dotted">
        <color rgb="FF565656"/>
      </bottom>
      <diagonal/>
    </border>
    <border>
      <left style="thin">
        <color rgb="FF565656"/>
      </left>
      <right style="thin">
        <color rgb="FF565656"/>
      </right>
      <top style="dotted">
        <color rgb="FF565656"/>
      </top>
      <bottom style="dotted">
        <color rgb="FF565656"/>
      </bottom>
      <diagonal/>
    </border>
    <border>
      <left/>
      <right style="thin">
        <color rgb="FF565656"/>
      </right>
      <top style="dotted">
        <color rgb="FF565656"/>
      </top>
      <bottom style="thick">
        <color rgb="FF565656"/>
      </bottom>
      <diagonal/>
    </border>
    <border>
      <left style="thin">
        <color rgb="FF565656"/>
      </left>
      <right style="thin">
        <color rgb="FF565656"/>
      </right>
      <top style="dotted">
        <color rgb="FF565656"/>
      </top>
      <bottom style="thick">
        <color rgb="FF565656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9" fontId="0" fillId="0" borderId="0" xfId="2" applyNumberFormat="1" applyFont="1">
      <alignment vertical="center"/>
    </xf>
    <xf numFmtId="0" fontId="6" fillId="0" borderId="0" xfId="0" applyFont="1">
      <alignment vertical="center"/>
    </xf>
    <xf numFmtId="10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0" fontId="8" fillId="0" borderId="0" xfId="2" applyNumberFormat="1" applyFont="1">
      <alignment vertical="center"/>
    </xf>
    <xf numFmtId="180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181" fontId="0" fillId="0" borderId="1" xfId="1" applyNumberFormat="1" applyFont="1" applyBorder="1">
      <alignment vertical="center"/>
    </xf>
    <xf numFmtId="179" fontId="0" fillId="0" borderId="1" xfId="0" applyNumberFormat="1" applyBorder="1">
      <alignment vertical="center"/>
    </xf>
    <xf numFmtId="182" fontId="0" fillId="0" borderId="1" xfId="1" applyNumberFormat="1" applyFont="1" applyBorder="1">
      <alignment vertical="center"/>
    </xf>
    <xf numFmtId="183" fontId="0" fillId="0" borderId="1" xfId="0" applyNumberFormat="1" applyBorder="1">
      <alignment vertical="center"/>
    </xf>
    <xf numFmtId="41" fontId="0" fillId="0" borderId="0" xfId="1" applyFont="1">
      <alignment vertical="center"/>
    </xf>
    <xf numFmtId="184" fontId="0" fillId="0" borderId="0" xfId="0" applyNumberFormat="1">
      <alignment vertical="center"/>
    </xf>
    <xf numFmtId="0" fontId="13" fillId="3" borderId="2" xfId="0" applyFont="1" applyFill="1" applyBorder="1" applyAlignment="1">
      <alignment horizontal="center" vertical="center" wrapText="1" readingOrder="1"/>
    </xf>
    <xf numFmtId="0" fontId="13" fillId="3" borderId="3" xfId="0" applyFont="1" applyFill="1" applyBorder="1" applyAlignment="1">
      <alignment horizontal="center" vertical="center" wrapText="1" readingOrder="1"/>
    </xf>
    <xf numFmtId="0" fontId="13" fillId="3" borderId="4" xfId="0" applyFont="1" applyFill="1" applyBorder="1" applyAlignment="1">
      <alignment horizontal="center" vertical="center" wrapText="1" readingOrder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center" vertical="center" wrapText="1" readingOrder="1"/>
    </xf>
    <xf numFmtId="0" fontId="14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3" fontId="13" fillId="0" borderId="9" xfId="0" applyNumberFormat="1" applyFont="1" applyBorder="1" applyAlignment="1">
      <alignment horizontal="center" vertical="center" wrapText="1" readingOrder="1"/>
    </xf>
    <xf numFmtId="4" fontId="13" fillId="0" borderId="9" xfId="0" applyNumberFormat="1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4" fillId="0" borderId="11" xfId="0" applyFont="1" applyBorder="1" applyAlignment="1">
      <alignment horizontal="center" vertical="center" wrapText="1"/>
    </xf>
    <xf numFmtId="4" fontId="13" fillId="0" borderId="11" xfId="0" applyNumberFormat="1" applyFont="1" applyBorder="1" applyAlignment="1">
      <alignment horizontal="center" vertical="center" wrapText="1" readingOrder="1"/>
    </xf>
    <xf numFmtId="0" fontId="13" fillId="0" borderId="1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zoomScale="150" zoomScaleNormal="150" workbookViewId="0">
      <selection activeCell="B12" sqref="B12"/>
    </sheetView>
  </sheetViews>
  <sheetFormatPr defaultRowHeight="16.5"/>
  <cols>
    <col min="1" max="1" width="9.375" customWidth="1"/>
    <col min="2" max="2" width="15.375" customWidth="1"/>
    <col min="3" max="3" width="11" customWidth="1"/>
    <col min="4" max="4" width="12.125" customWidth="1"/>
    <col min="8" max="8" width="20.125" customWidth="1"/>
    <col min="9" max="9" width="18.375" bestFit="1" customWidth="1"/>
  </cols>
  <sheetData>
    <row r="2" spans="1:10" ht="20.25" customHeight="1">
      <c r="A2" s="3" t="s">
        <v>0</v>
      </c>
      <c r="B2" s="3" t="s">
        <v>2</v>
      </c>
      <c r="C2" s="3" t="s">
        <v>1</v>
      </c>
      <c r="D2" s="3" t="s">
        <v>7</v>
      </c>
      <c r="E2" s="3" t="s">
        <v>5</v>
      </c>
      <c r="F2" s="3" t="s">
        <v>8</v>
      </c>
      <c r="G2" s="3" t="s">
        <v>27</v>
      </c>
      <c r="H2" s="3" t="s">
        <v>28</v>
      </c>
      <c r="I2" s="3" t="s">
        <v>10</v>
      </c>
    </row>
    <row r="3" spans="1:10">
      <c r="A3" s="4" t="s">
        <v>3</v>
      </c>
      <c r="B3" s="5">
        <v>0.6</v>
      </c>
      <c r="C3" s="5">
        <v>0.05</v>
      </c>
      <c r="D3" s="5">
        <v>0.04</v>
      </c>
      <c r="E3" s="6">
        <v>-1</v>
      </c>
      <c r="F3" s="11">
        <f>D3*B3</f>
        <v>2.4E-2</v>
      </c>
      <c r="G3" s="12">
        <f>+F3^2</f>
        <v>5.7600000000000001E-4</v>
      </c>
      <c r="H3" s="13">
        <f>2*F3*F4*E3</f>
        <v>-2.8799999999999997E-3</v>
      </c>
      <c r="I3" s="14">
        <f>G3+G4+H3</f>
        <v>1.2960000000000003E-3</v>
      </c>
    </row>
    <row r="4" spans="1:10">
      <c r="A4" s="7" t="s">
        <v>4</v>
      </c>
      <c r="B4" s="5">
        <f>1-B3</f>
        <v>0.4</v>
      </c>
      <c r="C4" s="5">
        <v>0.1</v>
      </c>
      <c r="D4" s="5">
        <v>0.15</v>
      </c>
      <c r="E4" s="8"/>
      <c r="F4" s="11">
        <f>D4*B4</f>
        <v>0.06</v>
      </c>
      <c r="G4" s="12">
        <f>+F4^2</f>
        <v>3.5999999999999999E-3</v>
      </c>
      <c r="H4" s="12"/>
      <c r="I4" s="12"/>
    </row>
    <row r="5" spans="1:10">
      <c r="A5" s="10" t="s">
        <v>6</v>
      </c>
      <c r="B5" s="11"/>
      <c r="C5" s="15">
        <f>C3*B3+C4*B4</f>
        <v>7.0000000000000007E-2</v>
      </c>
      <c r="D5" s="11"/>
      <c r="E5" s="12"/>
      <c r="F5" s="11">
        <f>SUM(F3:F4)</f>
        <v>8.3999999999999991E-2</v>
      </c>
      <c r="G5" s="12"/>
      <c r="H5" s="12"/>
      <c r="I5" s="12"/>
    </row>
    <row r="6" spans="1:10">
      <c r="A6" s="10" t="s">
        <v>9</v>
      </c>
      <c r="B6" s="11"/>
      <c r="C6" s="16">
        <f>SQRT(I3)</f>
        <v>3.6000000000000004E-2</v>
      </c>
      <c r="D6" s="17">
        <f>C6</f>
        <v>3.6000000000000004E-2</v>
      </c>
      <c r="E6" s="12"/>
      <c r="F6" s="12"/>
      <c r="G6" s="12"/>
      <c r="H6" s="12"/>
      <c r="I6" s="12"/>
    </row>
    <row r="7" spans="1:10">
      <c r="B7" s="1"/>
    </row>
    <row r="10" spans="1:10">
      <c r="A10" s="40" t="s">
        <v>14</v>
      </c>
      <c r="B10" s="40"/>
      <c r="D10" s="41" t="s">
        <v>35</v>
      </c>
      <c r="E10" s="41"/>
      <c r="F10" s="41" t="s">
        <v>36</v>
      </c>
      <c r="G10" s="41"/>
      <c r="H10">
        <f>3+1.1875*5</f>
        <v>8.9375</v>
      </c>
    </row>
    <row r="11" spans="1:10">
      <c r="A11" t="s">
        <v>11</v>
      </c>
      <c r="B11" s="2">
        <v>0</v>
      </c>
      <c r="D11" t="s">
        <v>17</v>
      </c>
      <c r="E11" s="19">
        <v>9.7000000000000003E-2</v>
      </c>
      <c r="F11" t="s">
        <v>17</v>
      </c>
      <c r="G11" s="19">
        <v>7.0000000000000007E-2</v>
      </c>
    </row>
    <row r="12" spans="1:10">
      <c r="A12" t="s">
        <v>12</v>
      </c>
      <c r="B12" s="19">
        <v>0.04</v>
      </c>
      <c r="D12" t="s">
        <v>13</v>
      </c>
      <c r="E12" s="2">
        <v>0.15</v>
      </c>
      <c r="F12" t="s">
        <v>13</v>
      </c>
      <c r="G12" s="2">
        <v>0.1</v>
      </c>
    </row>
    <row r="13" spans="1:10">
      <c r="A13" t="s">
        <v>13</v>
      </c>
      <c r="B13" s="1">
        <v>0.03</v>
      </c>
      <c r="D13" t="s">
        <v>18</v>
      </c>
      <c r="E13">
        <v>1</v>
      </c>
      <c r="F13" t="s">
        <v>18</v>
      </c>
      <c r="G13">
        <v>1</v>
      </c>
    </row>
    <row r="14" spans="1:10">
      <c r="A14" s="8" t="s">
        <v>15</v>
      </c>
      <c r="B14" s="22">
        <f>(B11-B12)/B13</f>
        <v>-1.3333333333333335</v>
      </c>
      <c r="D14" s="8" t="s">
        <v>16</v>
      </c>
      <c r="E14" s="23">
        <f>E11-0.5*E13*E12^2</f>
        <v>8.5750000000000007E-2</v>
      </c>
      <c r="F14" s="8" t="s">
        <v>16</v>
      </c>
      <c r="G14" s="23">
        <f>G11-0.5*G13*G12^2</f>
        <v>6.5000000000000002E-2</v>
      </c>
      <c r="H14">
        <f>1.11*1.15</f>
        <v>1.2765</v>
      </c>
    </row>
    <row r="15" spans="1:10">
      <c r="B15">
        <f>_xlfn.NORM.S.DIST(B14,TRUE)</f>
        <v>9.1211219725867806E-2</v>
      </c>
      <c r="H15">
        <f>SQRT(H14)-1</f>
        <v>0.12982299498638272</v>
      </c>
      <c r="J15">
        <f>13.4/3</f>
        <v>4.4666666666666668</v>
      </c>
    </row>
    <row r="17" spans="1:10">
      <c r="H17">
        <f>1.05*1.2*0.9</f>
        <v>1.1340000000000001</v>
      </c>
    </row>
    <row r="18" spans="1:10">
      <c r="A18" s="41" t="s">
        <v>19</v>
      </c>
      <c r="B18" s="41"/>
      <c r="D18" s="41" t="s">
        <v>22</v>
      </c>
      <c r="E18" s="41"/>
      <c r="H18">
        <f>H17^(1/3)</f>
        <v>1.0428079934659349</v>
      </c>
    </row>
    <row r="19" spans="1:10">
      <c r="A19" t="s">
        <v>20</v>
      </c>
      <c r="B19" s="19">
        <v>0.13</v>
      </c>
      <c r="D19" t="s">
        <v>20</v>
      </c>
      <c r="E19" s="19">
        <v>0.11</v>
      </c>
    </row>
    <row r="20" spans="1:10">
      <c r="A20" t="s">
        <v>21</v>
      </c>
      <c r="B20" s="2">
        <v>0.02</v>
      </c>
      <c r="D20" t="s">
        <v>21</v>
      </c>
      <c r="E20" s="2">
        <v>0.02</v>
      </c>
      <c r="H20" s="24">
        <v>-10000000</v>
      </c>
    </row>
    <row r="21" spans="1:10">
      <c r="A21" t="s">
        <v>13</v>
      </c>
      <c r="B21" s="2">
        <v>0.24</v>
      </c>
      <c r="D21" t="s">
        <v>23</v>
      </c>
      <c r="E21" s="18">
        <v>1.2</v>
      </c>
      <c r="H21" s="24">
        <v>-21000000</v>
      </c>
    </row>
    <row r="22" spans="1:10">
      <c r="A22" s="8" t="s">
        <v>19</v>
      </c>
      <c r="B22" s="20">
        <f>(B19-B20)/B21</f>
        <v>0.45833333333333337</v>
      </c>
      <c r="D22" s="8" t="s">
        <v>22</v>
      </c>
      <c r="E22" s="20">
        <f>(E19-E20)/E21</f>
        <v>7.4999999999999997E-2</v>
      </c>
      <c r="H22" s="24">
        <v>-126000000</v>
      </c>
      <c r="J22">
        <f>0.0457*2</f>
        <v>9.1399999999999995E-2</v>
      </c>
    </row>
    <row r="23" spans="1:10">
      <c r="H23" s="24">
        <v>147420000</v>
      </c>
      <c r="J23">
        <f>3*0.9058</f>
        <v>2.7174</v>
      </c>
    </row>
    <row r="24" spans="1:10">
      <c r="A24" s="41" t="s">
        <v>25</v>
      </c>
      <c r="B24" s="41"/>
      <c r="H24" s="25">
        <f>IRR(H20:H23)</f>
        <v>-4.8996242429390047E-2</v>
      </c>
    </row>
    <row r="25" spans="1:10">
      <c r="A25" t="s">
        <v>20</v>
      </c>
      <c r="B25" s="19">
        <v>0.11</v>
      </c>
    </row>
    <row r="26" spans="1:10">
      <c r="A26" t="s">
        <v>21</v>
      </c>
      <c r="B26" s="2">
        <v>0.02</v>
      </c>
    </row>
    <row r="27" spans="1:10">
      <c r="A27" t="s">
        <v>23</v>
      </c>
      <c r="B27" s="18">
        <v>1.2</v>
      </c>
      <c r="H27">
        <f>102000*1000</f>
        <v>102000000</v>
      </c>
    </row>
    <row r="28" spans="1:10">
      <c r="A28" t="s">
        <v>26</v>
      </c>
      <c r="B28" s="9">
        <v>0.1</v>
      </c>
      <c r="H28">
        <f>110000000</f>
        <v>110000000</v>
      </c>
    </row>
    <row r="29" spans="1:10">
      <c r="A29" t="s">
        <v>17</v>
      </c>
      <c r="B29" s="9">
        <f>B26+B27*(B28-B26)</f>
        <v>0.11600000000000001</v>
      </c>
      <c r="H29">
        <f>H27/H28</f>
        <v>0.92727272727272725</v>
      </c>
    </row>
    <row r="30" spans="1:10">
      <c r="A30" s="8" t="s">
        <v>24</v>
      </c>
      <c r="B30" s="21">
        <f>B25-B29</f>
        <v>-6.0000000000000053E-3</v>
      </c>
    </row>
    <row r="31" spans="1:10">
      <c r="H31">
        <f>0.10382/0.06333*0.66008</f>
        <v>1.0821017779883151</v>
      </c>
    </row>
    <row r="33" spans="2:6">
      <c r="B33" s="24">
        <v>-10000000</v>
      </c>
    </row>
    <row r="34" spans="2:6">
      <c r="B34" s="24">
        <v>-11000000</v>
      </c>
    </row>
    <row r="35" spans="2:6">
      <c r="B35" s="24">
        <v>-132000000</v>
      </c>
    </row>
    <row r="36" spans="2:6">
      <c r="B36" s="24">
        <v>142560000</v>
      </c>
    </row>
    <row r="37" spans="2:6">
      <c r="B37" s="25">
        <f>IRR(B33:B36)</f>
        <v>-5.7464630134328565E-2</v>
      </c>
    </row>
    <row r="38" spans="2:6" ht="17.25" thickBot="1"/>
    <row r="39" spans="2:6" ht="24.75" thickTop="1">
      <c r="B39" s="26" t="s">
        <v>29</v>
      </c>
      <c r="C39" s="27" t="s">
        <v>30</v>
      </c>
      <c r="D39" s="27" t="s">
        <v>31</v>
      </c>
      <c r="E39" s="27" t="s">
        <v>32</v>
      </c>
      <c r="F39" s="28" t="s">
        <v>33</v>
      </c>
    </row>
    <row r="40" spans="2:6">
      <c r="B40" s="29">
        <v>1</v>
      </c>
      <c r="C40" s="30">
        <v>500</v>
      </c>
      <c r="D40" s="30">
        <v>471.69799999999998</v>
      </c>
      <c r="E40" s="30">
        <v>4.8500000000000001E-2</v>
      </c>
      <c r="F40" s="31">
        <f>E40*B40</f>
        <v>4.8500000000000001E-2</v>
      </c>
    </row>
    <row r="41" spans="2:6">
      <c r="B41" s="32">
        <v>2</v>
      </c>
      <c r="C41" s="33">
        <v>500</v>
      </c>
      <c r="D41" s="33">
        <v>444.99799999999999</v>
      </c>
      <c r="E41" s="33">
        <v>4.5699999999999998E-2</v>
      </c>
      <c r="F41" s="31">
        <f t="shared" ref="F41:F42" si="0">E41*B41</f>
        <v>9.1399999999999995E-2</v>
      </c>
    </row>
    <row r="42" spans="2:6">
      <c r="B42" s="32">
        <v>3</v>
      </c>
      <c r="C42" s="34">
        <v>10500</v>
      </c>
      <c r="D42" s="35">
        <v>8816.0020000000004</v>
      </c>
      <c r="E42" s="33">
        <v>0.90580000000000005</v>
      </c>
      <c r="F42" s="31">
        <f t="shared" si="0"/>
        <v>2.7174</v>
      </c>
    </row>
    <row r="43" spans="2:6" ht="17.25" thickBot="1">
      <c r="B43" s="36" t="s">
        <v>34</v>
      </c>
      <c r="C43" s="37"/>
      <c r="D43" s="38">
        <v>9732.6990000000005</v>
      </c>
      <c r="E43" s="39"/>
      <c r="F43" s="31">
        <f>SUM(F40:F42)</f>
        <v>2.8573</v>
      </c>
    </row>
    <row r="44" spans="2:6" ht="18" thickTop="1" thickBot="1"/>
    <row r="45" spans="2:6" ht="24.75" thickTop="1">
      <c r="B45" s="26" t="s">
        <v>29</v>
      </c>
      <c r="C45" s="27" t="s">
        <v>30</v>
      </c>
      <c r="D45" s="27" t="s">
        <v>31</v>
      </c>
      <c r="E45" s="27" t="s">
        <v>32</v>
      </c>
      <c r="F45" s="28" t="s">
        <v>33</v>
      </c>
    </row>
    <row r="46" spans="2:6">
      <c r="B46" s="29">
        <v>1</v>
      </c>
      <c r="C46" s="30">
        <v>400</v>
      </c>
      <c r="D46" s="30">
        <v>380.95</v>
      </c>
      <c r="E46" s="30">
        <v>3.9199999999999999E-2</v>
      </c>
      <c r="F46" s="31">
        <f>E46*B46</f>
        <v>3.9199999999999999E-2</v>
      </c>
    </row>
    <row r="47" spans="2:6">
      <c r="B47" s="32">
        <v>2</v>
      </c>
      <c r="C47" s="33">
        <v>400</v>
      </c>
      <c r="D47" s="33">
        <v>362.81</v>
      </c>
      <c r="E47" s="33">
        <v>3.73E-2</v>
      </c>
      <c r="F47" s="31">
        <f t="shared" ref="F47:F48" si="1">E47*B47</f>
        <v>7.46E-2</v>
      </c>
    </row>
    <row r="48" spans="2:6">
      <c r="B48" s="32">
        <v>3</v>
      </c>
      <c r="C48" s="34">
        <v>10400</v>
      </c>
      <c r="D48" s="35">
        <v>8983.91</v>
      </c>
      <c r="E48" s="33">
        <v>0.92349999999999999</v>
      </c>
      <c r="F48" s="31">
        <f t="shared" si="1"/>
        <v>2.7705000000000002</v>
      </c>
    </row>
    <row r="49" spans="2:6" ht="17.25" thickBot="1">
      <c r="B49" s="36" t="s">
        <v>34</v>
      </c>
      <c r="C49" s="37"/>
      <c r="D49" s="38">
        <v>9727.68</v>
      </c>
      <c r="E49" s="39"/>
      <c r="F49" s="31">
        <f>SUM(F46:F48)</f>
        <v>2.8843000000000001</v>
      </c>
    </row>
    <row r="50" spans="2:6" ht="17.25" thickTop="1"/>
  </sheetData>
  <mergeCells count="6">
    <mergeCell ref="F10:G10"/>
    <mergeCell ref="A10:B10"/>
    <mergeCell ref="D10:E10"/>
    <mergeCell ref="A18:B18"/>
    <mergeCell ref="D18:E18"/>
    <mergeCell ref="A24:B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KORNU-USER</dc:creator>
  <cp:lastModifiedBy>Busan</cp:lastModifiedBy>
  <dcterms:created xsi:type="dcterms:W3CDTF">2021-10-27T07:59:50Z</dcterms:created>
  <dcterms:modified xsi:type="dcterms:W3CDTF">2024-06-28T02:52:30Z</dcterms:modified>
</cp:coreProperties>
</file>