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o365kornu-my.sharepoint.com/personal/11378_office_kornu_ac_kr/Documents/금융연수원/자산관리/"/>
    </mc:Choice>
  </mc:AlternateContent>
  <xr:revisionPtr revIDLastSave="157" documentId="8_{1B35007C-570C-465E-885F-56BF93A21D0D}" xr6:coauthVersionLast="47" xr6:coauthVersionMax="47" xr10:uidLastSave="{BFA9572E-6900-4FF7-BE14-9FA3CFBF5286}"/>
  <bookViews>
    <workbookView xWindow="-120" yWindow="-120" windowWidth="29040" windowHeight="15840" xr2:uid="{00000000-000D-0000-FFFF-FFFF00000000}"/>
  </bookViews>
  <sheets>
    <sheet name="CAPM_Duration" sheetId="5" r:id="rId1"/>
    <sheet name="Portfolio_Risk" sheetId="1" r:id="rId2"/>
    <sheet name="Risk Portfolio" sheetId="9" r:id="rId3"/>
    <sheet name="Shortfall" sheetId="2" r:id="rId4"/>
    <sheet name="Portfolio_Case" sheetId="4" r:id="rId5"/>
    <sheet name="Utility" sheetId="3" r:id="rId6"/>
    <sheet name="TWR&amp;MWR" sheetId="6" r:id="rId7"/>
    <sheet name="P_Evaluation" sheetId="7" r:id="rId8"/>
    <sheet name="Risk_Adjus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5" l="1"/>
  <c r="C49" i="5"/>
  <c r="C40" i="5"/>
  <c r="C41" i="5"/>
  <c r="C42" i="5"/>
  <c r="C43" i="5"/>
  <c r="C44" i="5"/>
  <c r="C45" i="5"/>
  <c r="C46" i="5"/>
  <c r="C47" i="5"/>
  <c r="C48" i="5"/>
  <c r="C39" i="5"/>
  <c r="C8" i="9"/>
  <c r="G7" i="9"/>
  <c r="F7" i="9"/>
  <c r="G6" i="9"/>
  <c r="F6" i="9"/>
  <c r="G5" i="9"/>
  <c r="F5" i="9"/>
  <c r="G4" i="9"/>
  <c r="F4" i="9"/>
  <c r="G3" i="9"/>
  <c r="F3" i="9"/>
  <c r="C5" i="1"/>
  <c r="B4" i="1"/>
  <c r="F4" i="1" s="1"/>
  <c r="F3" i="1"/>
  <c r="G3" i="1" s="1"/>
  <c r="G8" i="9" l="1"/>
  <c r="F8" i="9"/>
  <c r="G4" i="1"/>
  <c r="H3" i="1"/>
  <c r="F5" i="1"/>
  <c r="I3" i="1" l="1"/>
  <c r="D6" i="1" s="1"/>
  <c r="G8" i="4"/>
  <c r="B11" i="8"/>
  <c r="D40" i="5"/>
  <c r="D41" i="5"/>
  <c r="D42" i="5"/>
  <c r="D43" i="5"/>
  <c r="D44" i="5"/>
  <c r="D45" i="5"/>
  <c r="D46" i="5"/>
  <c r="D47" i="5"/>
  <c r="D48" i="5"/>
  <c r="D49" i="5"/>
  <c r="D50" i="5"/>
  <c r="D39" i="5"/>
  <c r="E12" i="8"/>
  <c r="E11" i="8"/>
  <c r="D12" i="8"/>
  <c r="D11" i="8"/>
  <c r="C12" i="8"/>
  <c r="C13" i="8"/>
  <c r="C11" i="8"/>
  <c r="B12" i="8"/>
  <c r="B13" i="8"/>
  <c r="C9" i="7"/>
  <c r="E9" i="7"/>
  <c r="D9" i="7"/>
  <c r="F9" i="7"/>
  <c r="E14" i="7" s="1"/>
  <c r="E20" i="7"/>
  <c r="E21" i="7"/>
  <c r="E19" i="7"/>
  <c r="K7" i="6"/>
  <c r="K6" i="6"/>
  <c r="K9" i="6" s="1"/>
  <c r="K10" i="6" s="1"/>
  <c r="H21" i="6"/>
  <c r="H20" i="6"/>
  <c r="H18" i="6"/>
  <c r="H19" i="6"/>
  <c r="H17" i="6"/>
  <c r="C10" i="6"/>
  <c r="C11" i="6" s="1"/>
  <c r="C30" i="5"/>
  <c r="D30" i="5" s="1"/>
  <c r="C29" i="5"/>
  <c r="D29" i="5" s="1"/>
  <c r="C28" i="5"/>
  <c r="D28" i="5" s="1"/>
  <c r="C19" i="5"/>
  <c r="D19" i="5" s="1"/>
  <c r="C16" i="5"/>
  <c r="D16" i="5" s="1"/>
  <c r="C17" i="5"/>
  <c r="D17" i="5" s="1"/>
  <c r="C18" i="5"/>
  <c r="D18" i="5" s="1"/>
  <c r="C15" i="5"/>
  <c r="D15" i="5" s="1"/>
  <c r="D5" i="5"/>
  <c r="D7" i="5" s="1"/>
  <c r="G4" i="4"/>
  <c r="G5" i="4"/>
  <c r="G6" i="4"/>
  <c r="G7" i="4"/>
  <c r="G3" i="4"/>
  <c r="F7" i="4"/>
  <c r="F6" i="4"/>
  <c r="F4" i="4"/>
  <c r="F3" i="4"/>
  <c r="E20" i="3"/>
  <c r="E19" i="3"/>
  <c r="D8" i="2"/>
  <c r="E8" i="2" s="1"/>
  <c r="E22" i="7" l="1"/>
  <c r="F8" i="2"/>
  <c r="H8" i="2" s="1"/>
  <c r="I8" i="2" s="1"/>
  <c r="D51" i="5"/>
  <c r="E47" i="5" s="1"/>
  <c r="F47" i="5" s="1"/>
  <c r="E13" i="7"/>
  <c r="E12" i="7"/>
  <c r="D31" i="5"/>
  <c r="E28" i="5" s="1"/>
  <c r="F28" i="5" s="1"/>
  <c r="D20" i="5"/>
  <c r="E16" i="5" s="1"/>
  <c r="F16" i="5" s="1"/>
  <c r="E49" i="5" l="1"/>
  <c r="F49" i="5" s="1"/>
  <c r="E15" i="7"/>
  <c r="E50" i="5"/>
  <c r="F50" i="5" s="1"/>
  <c r="E42" i="5"/>
  <c r="F42" i="5" s="1"/>
  <c r="E44" i="5"/>
  <c r="F44" i="5" s="1"/>
  <c r="E43" i="5"/>
  <c r="F43" i="5" s="1"/>
  <c r="E48" i="5"/>
  <c r="F48" i="5" s="1"/>
  <c r="E41" i="5"/>
  <c r="F41" i="5" s="1"/>
  <c r="E46" i="5"/>
  <c r="F46" i="5" s="1"/>
  <c r="E39" i="5"/>
  <c r="E40" i="5"/>
  <c r="F40" i="5" s="1"/>
  <c r="E45" i="5"/>
  <c r="F45" i="5" s="1"/>
  <c r="E19" i="5"/>
  <c r="F19" i="5" s="1"/>
  <c r="F39" i="5"/>
  <c r="E30" i="5"/>
  <c r="F30" i="5" s="1"/>
  <c r="E29" i="5"/>
  <c r="F29" i="5" s="1"/>
  <c r="E15" i="5"/>
  <c r="F15" i="5" s="1"/>
  <c r="E18" i="5"/>
  <c r="F18" i="5" s="1"/>
  <c r="E17" i="5"/>
  <c r="F17" i="5" s="1"/>
  <c r="F20" i="5" l="1"/>
  <c r="F51" i="5"/>
  <c r="F52" i="5" s="1"/>
  <c r="F31" i="5"/>
  <c r="C8" i="4"/>
  <c r="F5" i="4"/>
  <c r="F8" i="4" s="1"/>
  <c r="G11" i="4" s="1"/>
  <c r="G12" i="4" s="1"/>
</calcChain>
</file>

<file path=xl/sharedStrings.xml><?xml version="1.0" encoding="utf-8"?>
<sst xmlns="http://schemas.openxmlformats.org/spreadsheetml/2006/main" count="204" uniqueCount="128">
  <si>
    <t>개별자산</t>
  </si>
  <si>
    <t>주식</t>
  </si>
  <si>
    <t>장기채권</t>
  </si>
  <si>
    <t>단기금융상품</t>
  </si>
  <si>
    <t>합 계</t>
  </si>
  <si>
    <t>자 산</t>
  </si>
  <si>
    <t>기대수익률</t>
  </si>
  <si>
    <t>투자비중</t>
  </si>
  <si>
    <t>상관계수</t>
    <phoneticPr fontId="2" type="noConversion"/>
  </si>
  <si>
    <t>A</t>
    <phoneticPr fontId="2" type="noConversion"/>
  </si>
  <si>
    <t>B</t>
    <phoneticPr fontId="2" type="noConversion"/>
  </si>
  <si>
    <t>대체투자</t>
  </si>
  <si>
    <t>대체투자</t>
    <phoneticPr fontId="2" type="noConversion"/>
  </si>
  <si>
    <t>채권</t>
  </si>
  <si>
    <t>포트폴리오 표준편차</t>
    <phoneticPr fontId="2" type="noConversion"/>
  </si>
  <si>
    <t>구분</t>
  </si>
  <si>
    <t>자산</t>
  </si>
  <si>
    <t>상관계수</t>
  </si>
  <si>
    <t>주식과 채권</t>
  </si>
  <si>
    <t>수익률 표준편차</t>
  </si>
  <si>
    <t>세후목표(기대)수익률</t>
    <phoneticPr fontId="2" type="noConversion"/>
  </si>
  <si>
    <t>세후목표수익률</t>
    <phoneticPr fontId="2" type="noConversion"/>
  </si>
  <si>
    <t>포트폴리오</t>
    <phoneticPr fontId="2" type="noConversion"/>
  </si>
  <si>
    <t>주식 투자비중</t>
    <phoneticPr fontId="2" type="noConversion"/>
  </si>
  <si>
    <t>채권 투자비중</t>
    <phoneticPr fontId="2" type="noConversion"/>
  </si>
  <si>
    <t>표준편차</t>
    <phoneticPr fontId="2" type="noConversion"/>
  </si>
  <si>
    <t>포트폴리오 기대수익률</t>
    <phoneticPr fontId="2" type="noConversion"/>
  </si>
  <si>
    <r>
      <t>•</t>
    </r>
    <r>
      <rPr>
        <sz val="16"/>
        <color rgb="FF000000"/>
        <rFont val="맑은 고딕"/>
        <family val="3"/>
        <charset val="129"/>
        <scheme val="minor"/>
      </rPr>
      <t>고객의 위험감수성향에 따른 기대효용</t>
    </r>
  </si>
  <si>
    <t>고객 성향</t>
  </si>
  <si>
    <t>매우 안정형</t>
  </si>
  <si>
    <t>안정형</t>
  </si>
  <si>
    <t>중립형</t>
  </si>
  <si>
    <t>공격형</t>
  </si>
  <si>
    <t>매우 공격형</t>
  </si>
  <si>
    <t>위험회피 계수</t>
  </si>
  <si>
    <t>7~8</t>
  </si>
  <si>
    <t>4~5</t>
  </si>
  <si>
    <t>1~2</t>
  </si>
  <si>
    <t>기대수익률</t>
    <phoneticPr fontId="2" type="noConversion"/>
  </si>
  <si>
    <t>위험회피계수</t>
    <phoneticPr fontId="2" type="noConversion"/>
  </si>
  <si>
    <t>기대효용</t>
    <phoneticPr fontId="2" type="noConversion"/>
  </si>
  <si>
    <t>부동산 펀드</t>
  </si>
  <si>
    <t>부동산 펀드</t>
    <phoneticPr fontId="2" type="noConversion"/>
  </si>
  <si>
    <t>상관계수표</t>
    <phoneticPr fontId="2" type="noConversion"/>
  </si>
  <si>
    <t>투자비중</t>
    <phoneticPr fontId="2" type="noConversion"/>
  </si>
  <si>
    <t>포트폴리오 기대수익률</t>
    <phoneticPr fontId="2" type="noConversion"/>
  </si>
  <si>
    <t>포트폴리오 표준편차</t>
    <phoneticPr fontId="2" type="noConversion"/>
  </si>
  <si>
    <t>Z값</t>
    <phoneticPr fontId="2" type="noConversion"/>
  </si>
  <si>
    <t>최소수익률</t>
    <phoneticPr fontId="2" type="noConversion"/>
  </si>
  <si>
    <t>Shortfall Risk</t>
    <phoneticPr fontId="2" type="noConversion"/>
  </si>
  <si>
    <t>수익률</t>
  </si>
  <si>
    <t>합계</t>
  </si>
  <si>
    <t>자본자산가격결정모형(Capital Asset Pricing Model: CAPM)</t>
    <phoneticPr fontId="2" type="noConversion"/>
  </si>
  <si>
    <t>무위험이자율</t>
    <phoneticPr fontId="2" type="noConversion"/>
  </si>
  <si>
    <t>주식시장 기대수익률</t>
    <phoneticPr fontId="2" type="noConversion"/>
  </si>
  <si>
    <t>주식시장 위험프리미엄</t>
    <phoneticPr fontId="2" type="noConversion"/>
  </si>
  <si>
    <t>베타계수</t>
    <phoneticPr fontId="2" type="noConversion"/>
  </si>
  <si>
    <t>개별주식의 기대수익률</t>
    <phoneticPr fontId="2" type="noConversion"/>
  </si>
  <si>
    <t>듀레이션(Duration: D)</t>
    <phoneticPr fontId="2" type="noConversion"/>
  </si>
  <si>
    <t>사례</t>
    <phoneticPr fontId="2" type="noConversion"/>
  </si>
  <si>
    <t>표면이자율</t>
    <phoneticPr fontId="2" type="noConversion"/>
  </si>
  <si>
    <t>만기</t>
    <phoneticPr fontId="2" type="noConversion"/>
  </si>
  <si>
    <t>5년</t>
    <phoneticPr fontId="2" type="noConversion"/>
  </si>
  <si>
    <t>시장수익률</t>
    <phoneticPr fontId="2" type="noConversion"/>
  </si>
  <si>
    <t>연단위 후급이표채</t>
    <phoneticPr fontId="2" type="noConversion"/>
  </si>
  <si>
    <t>t</t>
  </si>
  <si>
    <t>미래현금흐름</t>
  </si>
  <si>
    <t>현재가치</t>
  </si>
  <si>
    <t>현재가치 비중</t>
  </si>
  <si>
    <r>
      <t>t×</t>
    </r>
    <r>
      <rPr>
        <b/>
        <sz val="11"/>
        <color rgb="FF007D7A"/>
        <rFont val="Arial"/>
        <family val="2"/>
      </rPr>
      <t>비중</t>
    </r>
  </si>
  <si>
    <t>3년</t>
    <phoneticPr fontId="2" type="noConversion"/>
  </si>
  <si>
    <t>시간가중 수익률(Time Weighted Rate of Return: TWR)</t>
  </si>
  <si>
    <t>연도</t>
  </si>
  <si>
    <t>기준가</t>
  </si>
  <si>
    <t>기간 수익률</t>
  </si>
  <si>
    <t>1, 188</t>
  </si>
  <si>
    <r>
      <t>TWR</t>
    </r>
    <r>
      <rPr>
        <b/>
        <vertAlign val="subscript"/>
        <sz val="14.6"/>
        <color rgb="FF002060"/>
        <rFont val="Noto Sans CJK KR Black"/>
        <family val="2"/>
        <charset val="129"/>
      </rPr>
      <t>T</t>
    </r>
  </si>
  <si>
    <t>연간 TWR</t>
  </si>
  <si>
    <t>금액가중 수익률(Money Weighted Rate of return: MWR)</t>
  </si>
  <si>
    <t>입금</t>
  </si>
  <si>
    <t>잔고좌수</t>
  </si>
  <si>
    <t>평가금액</t>
  </si>
  <si>
    <r>
      <rPr>
        <b/>
        <sz val="13"/>
        <color rgb="FF007D7A"/>
        <rFont val="맑은 고딕"/>
        <family val="2"/>
        <charset val="129"/>
      </rPr>
      <t>현금흐름</t>
    </r>
    <phoneticPr fontId="2" type="noConversion"/>
  </si>
  <si>
    <t>시점</t>
  </si>
  <si>
    <t>1주당 가격</t>
  </si>
  <si>
    <t>1주당 현금배당금</t>
  </si>
  <si>
    <t>기간수익률</t>
    <phoneticPr fontId="2" type="noConversion"/>
  </si>
  <si>
    <t>포트폴리오 성과분석</t>
  </si>
  <si>
    <t>포트폴리오</t>
  </si>
  <si>
    <t>벤치마크</t>
  </si>
  <si>
    <t>현금성자산</t>
  </si>
  <si>
    <t xml:space="preserve">주식 자산배분효과 </t>
  </si>
  <si>
    <t xml:space="preserve">채권 자산배분효과 </t>
    <phoneticPr fontId="2" type="noConversion"/>
  </si>
  <si>
    <t xml:space="preserve">현금성자산 자산배분효과 </t>
    <phoneticPr fontId="2" type="noConversion"/>
  </si>
  <si>
    <t>합계</t>
    <phoneticPr fontId="2" type="noConversion"/>
  </si>
  <si>
    <t>증권선택효과</t>
    <phoneticPr fontId="2" type="noConversion"/>
  </si>
  <si>
    <t xml:space="preserve">주식 증권선택효과 </t>
    <phoneticPr fontId="2" type="noConversion"/>
  </si>
  <si>
    <t xml:space="preserve">채권 증권선택효과 </t>
    <phoneticPr fontId="2" type="noConversion"/>
  </si>
  <si>
    <t xml:space="preserve">현금성자산 증권선택효과 </t>
    <phoneticPr fontId="2" type="noConversion"/>
  </si>
  <si>
    <t>위험조정 성과평가 사례</t>
  </si>
  <si>
    <t>실현수익률</t>
  </si>
  <si>
    <t>베타</t>
  </si>
  <si>
    <t>트래킹에러 표준편차</t>
  </si>
  <si>
    <t>펀드매니저 A</t>
  </si>
  <si>
    <t>펀드매니저 B</t>
  </si>
  <si>
    <t>벤치마크(시장)</t>
  </si>
  <si>
    <t>무위험이자율</t>
  </si>
  <si>
    <t>샤프지수</t>
  </si>
  <si>
    <t>트레이너 지수</t>
  </si>
  <si>
    <t>젠센알파</t>
  </si>
  <si>
    <t>정보비율</t>
    <phoneticPr fontId="2" type="noConversion"/>
  </si>
  <si>
    <t>현재가치</t>
    <phoneticPr fontId="2" type="noConversion"/>
  </si>
  <si>
    <t>3개월단위 후급이표채</t>
    <phoneticPr fontId="2" type="noConversion"/>
  </si>
  <si>
    <t>연 단위 듀레이션</t>
    <phoneticPr fontId="2" type="noConversion"/>
  </si>
  <si>
    <t>자산배분 효과</t>
    <phoneticPr fontId="2" type="noConversion"/>
  </si>
  <si>
    <t>표준편차(σ)</t>
    <phoneticPr fontId="2" type="noConversion"/>
  </si>
  <si>
    <t>Wσ</t>
    <phoneticPr fontId="2" type="noConversion"/>
  </si>
  <si>
    <t>(Wσ)^2</t>
    <phoneticPr fontId="2" type="noConversion"/>
  </si>
  <si>
    <r>
      <t>2WaσaWbσb</t>
    </r>
    <r>
      <rPr>
        <sz val="10.5"/>
        <color theme="1"/>
        <rFont val="바탕"/>
        <family val="3"/>
        <charset val="129"/>
      </rPr>
      <t>ρab</t>
    </r>
    <phoneticPr fontId="2" type="noConversion"/>
  </si>
  <si>
    <r>
      <t>포트폴리오 분산(σ</t>
    </r>
    <r>
      <rPr>
        <vertAlign val="superscript"/>
        <sz val="10.5"/>
        <color theme="1"/>
        <rFont val="바탕"/>
        <family val="1"/>
        <charset val="129"/>
      </rPr>
      <t>2</t>
    </r>
    <r>
      <rPr>
        <sz val="10.5"/>
        <color theme="1"/>
        <rFont val="바탕"/>
        <family val="1"/>
        <charset val="129"/>
      </rPr>
      <t>)</t>
    </r>
    <phoneticPr fontId="2" type="noConversion"/>
  </si>
  <si>
    <t>A</t>
  </si>
  <si>
    <t>B</t>
  </si>
  <si>
    <t>단순가중표준편차</t>
    <phoneticPr fontId="2" type="noConversion"/>
  </si>
  <si>
    <t>KOSPI</t>
    <phoneticPr fontId="2" type="noConversion"/>
  </si>
  <si>
    <t>S&amp;P500</t>
    <phoneticPr fontId="2" type="noConversion"/>
  </si>
  <si>
    <t>DAX</t>
    <phoneticPr fontId="2" type="noConversion"/>
  </si>
  <si>
    <t>Nikkei225</t>
    <phoneticPr fontId="2" type="noConversion"/>
  </si>
  <si>
    <t>Nifty50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</si>
</sst>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0.000%"/>
    <numFmt numFmtId="177" formatCode="#,##0.00_ "/>
    <numFmt numFmtId="178" formatCode="0.0%"/>
    <numFmt numFmtId="179" formatCode="0.0"/>
    <numFmt numFmtId="180" formatCode="_-* #,##0.000_-;\-* #,##0.000_-;_-* &quot;-&quot;_-;_-@_-"/>
    <numFmt numFmtId="181" formatCode="0.0000"/>
    <numFmt numFmtId="182" formatCode="0.0000%"/>
    <numFmt numFmtId="183" formatCode="_-* #,##0.0000_-;\-* #,##0.0000_-;_-* &quot;-&quot;_-;_-@_-"/>
    <numFmt numFmtId="185" formatCode="_-* #,##0.00_-;\-* #,##0.00_-;_-* &quot;-&quot;_-;_-@_-"/>
    <numFmt numFmtId="186" formatCode="0.0000_ "/>
  </numFmts>
  <fonts count="4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.5"/>
      <color theme="1"/>
      <name val="바탕"/>
      <family val="1"/>
      <charset val="129"/>
    </font>
    <font>
      <sz val="10.5"/>
      <color rgb="FF000000"/>
      <name val="바탕"/>
      <family val="1"/>
      <charset val="129"/>
    </font>
    <font>
      <vertAlign val="superscript"/>
      <sz val="10.5"/>
      <color theme="1"/>
      <name val="바탕"/>
      <family val="1"/>
      <charset val="129"/>
    </font>
    <font>
      <sz val="16"/>
      <color rgb="FF000000"/>
      <name val="함초롬바탕"/>
      <family val="1"/>
      <charset val="129"/>
    </font>
    <font>
      <sz val="16"/>
      <color theme="1"/>
      <name val="Arial"/>
      <family val="2"/>
    </font>
    <font>
      <sz val="16"/>
      <color rgb="FF000000"/>
      <name val="맑은 고딕"/>
      <family val="3"/>
      <charset val="129"/>
      <scheme val="minor"/>
    </font>
    <font>
      <sz val="14"/>
      <color rgb="FF000000"/>
      <name val="-윤명조120"/>
      <family val="3"/>
      <charset val="129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2"/>
      <color theme="1"/>
      <name val="바탕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rgb="FF000000"/>
      <name val="바탕"/>
      <family val="1"/>
      <charset val="129"/>
    </font>
    <font>
      <sz val="16"/>
      <color theme="1"/>
      <name val="함초롬바탕"/>
      <family val="1"/>
      <charset val="129"/>
    </font>
    <font>
      <sz val="11"/>
      <color rgb="FF002060"/>
      <name val="맑은 고딕"/>
      <family val="2"/>
      <charset val="129"/>
      <scheme val="minor"/>
    </font>
    <font>
      <sz val="18"/>
      <name val="Arial"/>
      <family val="2"/>
    </font>
    <font>
      <b/>
      <sz val="13"/>
      <color rgb="FF008789"/>
      <name val="Noto Sans CJK KR Medium"/>
      <family val="2"/>
      <charset val="129"/>
    </font>
    <font>
      <b/>
      <sz val="13"/>
      <color rgb="FF007D7A"/>
      <name val="Arial"/>
      <family val="2"/>
    </font>
    <font>
      <sz val="13"/>
      <color rgb="FF262626"/>
      <name val="Noto Sans CJK KR Medium"/>
      <family val="2"/>
      <charset val="129"/>
    </font>
    <font>
      <b/>
      <sz val="11"/>
      <color rgb="FF008789"/>
      <name val="Noto Sans CJK KR Medium"/>
      <family val="2"/>
      <charset val="129"/>
    </font>
    <font>
      <b/>
      <sz val="11"/>
      <color rgb="FF007D7A"/>
      <name val="Arial"/>
      <family val="2"/>
    </font>
    <font>
      <b/>
      <sz val="11"/>
      <color rgb="FF007D7A"/>
      <name val="맑은 고딕"/>
      <family val="3"/>
      <charset val="129"/>
    </font>
    <font>
      <sz val="11"/>
      <color rgb="FF262626"/>
      <name val="Noto Sans CJK KR Medium"/>
      <family val="2"/>
      <charset val="129"/>
    </font>
    <font>
      <sz val="11"/>
      <name val="Arial"/>
      <family val="2"/>
    </font>
    <font>
      <sz val="16.3"/>
      <color rgb="FF262626"/>
      <name val="Noto Sans CJK KR Medium"/>
      <family val="2"/>
      <charset val="129"/>
    </font>
    <font>
      <b/>
      <sz val="14.6"/>
      <color rgb="FF002060"/>
      <name val="Noto Sans CJK KR Black"/>
      <family val="2"/>
      <charset val="129"/>
    </font>
    <font>
      <b/>
      <vertAlign val="subscript"/>
      <sz val="14.6"/>
      <color rgb="FF002060"/>
      <name val="Noto Sans CJK KR Black"/>
      <family val="2"/>
      <charset val="129"/>
    </font>
    <font>
      <b/>
      <sz val="13"/>
      <color rgb="FF007D7A"/>
      <name val="맑은 고딕"/>
      <family val="2"/>
      <charset val="129"/>
    </font>
    <font>
      <sz val="13"/>
      <color theme="1"/>
      <name val="맑은 고딕"/>
      <family val="2"/>
      <charset val="129"/>
      <scheme val="minor"/>
    </font>
    <font>
      <sz val="16"/>
      <color rgb="FF000000"/>
      <name val="KoPub돋움체 Light"/>
      <family val="3"/>
      <charset val="129"/>
    </font>
    <font>
      <b/>
      <sz val="17.899999999999999"/>
      <color rgb="FF164D5A"/>
      <name val="Noto Sans CJK KR Bold"/>
      <family val="2"/>
      <charset val="129"/>
    </font>
    <font>
      <sz val="14.5"/>
      <color theme="1"/>
      <name val="맑은 고딕"/>
      <family val="2"/>
      <charset val="129"/>
      <scheme val="minor"/>
    </font>
    <font>
      <sz val="14.6"/>
      <color rgb="FF000000"/>
      <name val="Noto Sans CJK KR Medium"/>
      <family val="2"/>
      <charset val="129"/>
    </font>
    <font>
      <sz val="12"/>
      <color rgb="FF262626"/>
      <name val="Noto Sans CJK KR Medium"/>
      <family val="2"/>
      <charset val="129"/>
    </font>
    <font>
      <sz val="10.5"/>
      <color theme="1"/>
      <name val="바탕"/>
      <family val="3"/>
      <charset val="129"/>
    </font>
    <font>
      <sz val="11"/>
      <color theme="1"/>
      <name val="바탕"/>
      <family val="1"/>
      <charset val="129"/>
    </font>
    <font>
      <sz val="10"/>
      <color theme="1"/>
      <name val="바탕"/>
      <family val="1"/>
      <charset val="129"/>
    </font>
    <font>
      <b/>
      <sz val="11"/>
      <color theme="1"/>
      <name val="바탕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3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9D9D9"/>
      </right>
      <top style="thick">
        <color rgb="FF00878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ck">
        <color rgb="FF008789"/>
      </top>
      <bottom style="thin">
        <color rgb="FFD9D9D9"/>
      </bottom>
      <diagonal/>
    </border>
    <border>
      <left style="thin">
        <color rgb="FFD9D9D9"/>
      </left>
      <right/>
      <top style="thick">
        <color rgb="FF00878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ck">
        <color rgb="FF00878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ck">
        <color rgb="FF008789"/>
      </bottom>
      <diagonal/>
    </border>
    <border>
      <left style="thin">
        <color rgb="FFD9D9D9"/>
      </left>
      <right/>
      <top style="thin">
        <color rgb="FFD9D9D9"/>
      </top>
      <bottom style="thick">
        <color rgb="FF008789"/>
      </bottom>
      <diagonal/>
    </border>
    <border>
      <left/>
      <right style="thin">
        <color rgb="FFD9D9D9"/>
      </right>
      <top/>
      <bottom style="thick">
        <color rgb="FF008789"/>
      </bottom>
      <diagonal/>
    </border>
    <border>
      <left style="thin">
        <color rgb="FFD9D9D9"/>
      </left>
      <right style="thin">
        <color rgb="FFD9D9D9"/>
      </right>
      <top/>
      <bottom style="thick">
        <color rgb="FF008789"/>
      </bottom>
      <diagonal/>
    </border>
    <border>
      <left style="thin">
        <color rgb="FFD9D9D9"/>
      </left>
      <right/>
      <top/>
      <bottom style="thick">
        <color rgb="FF008789"/>
      </bottom>
      <diagonal/>
    </border>
    <border>
      <left/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/>
      <top style="thin">
        <color rgb="FFD9D9D9"/>
      </top>
      <bottom style="thin">
        <color indexed="64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ck">
        <color rgb="FF008789"/>
      </top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ck">
        <color rgb="FF008789"/>
      </top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6" fillId="0" borderId="4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10" fontId="6" fillId="0" borderId="1" xfId="0" applyNumberFormat="1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178" fontId="6" fillId="0" borderId="1" xfId="0" applyNumberFormat="1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9" fontId="3" fillId="0" borderId="7" xfId="0" applyNumberFormat="1" applyFont="1" applyBorder="1" applyAlignment="1">
      <alignment horizontal="center" vertical="center" wrapText="1"/>
    </xf>
    <xf numFmtId="177" fontId="3" fillId="0" borderId="7" xfId="1" applyNumberFormat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>
      <alignment vertical="center"/>
    </xf>
    <xf numFmtId="178" fontId="6" fillId="3" borderId="3" xfId="0" applyNumberFormat="1" applyFont="1" applyFill="1" applyBorder="1" applyAlignment="1">
      <alignment horizontal="center" vertical="center" wrapText="1" readingOrder="1"/>
    </xf>
    <xf numFmtId="10" fontId="0" fillId="3" borderId="0" xfId="2" applyNumberFormat="1" applyFont="1" applyFill="1">
      <alignment vertical="center"/>
    </xf>
    <xf numFmtId="0" fontId="7" fillId="0" borderId="0" xfId="0" applyFont="1" applyAlignment="1">
      <alignment horizontal="left" vertical="center" inden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9" fontId="0" fillId="0" borderId="0" xfId="0" applyNumberFormat="1">
      <alignment vertical="center"/>
    </xf>
    <xf numFmtId="0" fontId="10" fillId="0" borderId="0" xfId="0" applyFont="1">
      <alignment vertical="center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10" fontId="11" fillId="0" borderId="0" xfId="0" applyNumberFormat="1" applyFont="1">
      <alignment vertical="center"/>
    </xf>
    <xf numFmtId="176" fontId="11" fillId="3" borderId="0" xfId="0" applyNumberFormat="1" applyFont="1" applyFill="1">
      <alignment vertical="center"/>
    </xf>
    <xf numFmtId="0" fontId="12" fillId="2" borderId="7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3" fillId="0" borderId="7" xfId="0" applyFont="1" applyBorder="1">
      <alignment vertical="center"/>
    </xf>
    <xf numFmtId="0" fontId="12" fillId="0" borderId="7" xfId="0" applyFont="1" applyBorder="1" applyAlignment="1">
      <alignment horizontal="center" vertical="center" wrapText="1"/>
    </xf>
    <xf numFmtId="9" fontId="12" fillId="0" borderId="7" xfId="0" applyNumberFormat="1" applyFont="1" applyBorder="1" applyAlignment="1">
      <alignment horizontal="center" vertical="center" wrapText="1"/>
    </xf>
    <xf numFmtId="178" fontId="12" fillId="0" borderId="7" xfId="0" applyNumberFormat="1" applyFont="1" applyBorder="1" applyAlignment="1">
      <alignment horizontal="center" vertical="center" wrapText="1"/>
    </xf>
    <xf numFmtId="10" fontId="13" fillId="0" borderId="7" xfId="0" applyNumberFormat="1" applyFont="1" applyBorder="1">
      <alignment vertical="center"/>
    </xf>
    <xf numFmtId="179" fontId="13" fillId="0" borderId="7" xfId="0" applyNumberFormat="1" applyFont="1" applyBorder="1">
      <alignment vertical="center"/>
    </xf>
    <xf numFmtId="0" fontId="14" fillId="0" borderId="7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10" fontId="6" fillId="0" borderId="7" xfId="0" applyNumberFormat="1" applyFont="1" applyBorder="1" applyAlignment="1">
      <alignment horizontal="center" vertical="center" wrapText="1" readingOrder="1"/>
    </xf>
    <xf numFmtId="180" fontId="6" fillId="0" borderId="7" xfId="1" applyNumberFormat="1" applyFont="1" applyBorder="1" applyAlignment="1">
      <alignment horizontal="center" vertical="center" wrapText="1" readingOrder="1"/>
    </xf>
    <xf numFmtId="176" fontId="15" fillId="0" borderId="7" xfId="2" applyNumberFormat="1" applyFont="1" applyBorder="1">
      <alignment vertical="center"/>
    </xf>
    <xf numFmtId="177" fontId="0" fillId="0" borderId="0" xfId="1" applyNumberFormat="1" applyFont="1">
      <alignment vertical="center"/>
    </xf>
    <xf numFmtId="10" fontId="13" fillId="3" borderId="7" xfId="0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0" fontId="0" fillId="3" borderId="0" xfId="0" applyFill="1">
      <alignment vertical="center"/>
    </xf>
    <xf numFmtId="0" fontId="16" fillId="0" borderId="0" xfId="0" applyFont="1">
      <alignment vertical="center"/>
    </xf>
    <xf numFmtId="0" fontId="18" fillId="5" borderId="8" xfId="0" applyFont="1" applyFill="1" applyBorder="1" applyAlignment="1">
      <alignment horizontal="center" vertical="center" wrapText="1" readingOrder="1"/>
    </xf>
    <xf numFmtId="0" fontId="19" fillId="5" borderId="9" xfId="0" applyFont="1" applyFill="1" applyBorder="1" applyAlignment="1">
      <alignment horizontal="center" vertical="center" wrapText="1" readingOrder="1"/>
    </xf>
    <xf numFmtId="0" fontId="20" fillId="6" borderId="11" xfId="0" applyFont="1" applyFill="1" applyBorder="1" applyAlignment="1">
      <alignment horizontal="center" vertical="center" wrapText="1" readingOrder="1"/>
    </xf>
    <xf numFmtId="3" fontId="20" fillId="6" borderId="12" xfId="0" applyNumberFormat="1" applyFont="1" applyFill="1" applyBorder="1" applyAlignment="1">
      <alignment horizontal="center" vertical="center" wrapText="1" readingOrder="1"/>
    </xf>
    <xf numFmtId="0" fontId="20" fillId="6" borderId="14" xfId="0" applyFont="1" applyFill="1" applyBorder="1" applyAlignment="1">
      <alignment horizontal="center" vertical="center" wrapText="1" readingOrder="1"/>
    </xf>
    <xf numFmtId="0" fontId="17" fillId="6" borderId="15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 readingOrder="1"/>
    </xf>
    <xf numFmtId="0" fontId="22" fillId="5" borderId="9" xfId="0" applyFont="1" applyFill="1" applyBorder="1" applyAlignment="1">
      <alignment horizontal="center" vertical="center" wrapText="1" readingOrder="1"/>
    </xf>
    <xf numFmtId="0" fontId="23" fillId="5" borderId="10" xfId="0" applyFont="1" applyFill="1" applyBorder="1" applyAlignment="1">
      <alignment horizontal="center" vertical="center" wrapText="1" readingOrder="1"/>
    </xf>
    <xf numFmtId="0" fontId="24" fillId="6" borderId="11" xfId="0" applyFont="1" applyFill="1" applyBorder="1" applyAlignment="1">
      <alignment horizontal="center" vertical="center" wrapText="1" readingOrder="1"/>
    </xf>
    <xf numFmtId="0" fontId="24" fillId="6" borderId="12" xfId="0" applyFont="1" applyFill="1" applyBorder="1" applyAlignment="1">
      <alignment horizontal="center" vertical="center" wrapText="1" readingOrder="1"/>
    </xf>
    <xf numFmtId="181" fontId="24" fillId="6" borderId="12" xfId="0" applyNumberFormat="1" applyFont="1" applyFill="1" applyBorder="1" applyAlignment="1">
      <alignment horizontal="center" vertical="center" wrapText="1" readingOrder="1"/>
    </xf>
    <xf numFmtId="180" fontId="24" fillId="6" borderId="12" xfId="1" applyNumberFormat="1" applyFont="1" applyFill="1" applyBorder="1" applyAlignment="1">
      <alignment horizontal="center" vertical="center" wrapText="1" readingOrder="1"/>
    </xf>
    <xf numFmtId="0" fontId="24" fillId="6" borderId="17" xfId="0" applyFont="1" applyFill="1" applyBorder="1" applyAlignment="1">
      <alignment horizontal="center" vertical="center" wrapText="1" readingOrder="1"/>
    </xf>
    <xf numFmtId="0" fontId="25" fillId="6" borderId="18" xfId="0" applyFont="1" applyFill="1" applyBorder="1" applyAlignment="1">
      <alignment horizontal="center" vertical="center" wrapText="1"/>
    </xf>
    <xf numFmtId="180" fontId="25" fillId="6" borderId="18" xfId="0" applyNumberFormat="1" applyFont="1" applyFill="1" applyBorder="1" applyAlignment="1">
      <alignment horizontal="center" vertical="center" wrapText="1"/>
    </xf>
    <xf numFmtId="0" fontId="24" fillId="6" borderId="20" xfId="0" applyFont="1" applyFill="1" applyBorder="1" applyAlignment="1">
      <alignment horizontal="center" vertical="center" wrapText="1" readingOrder="1"/>
    </xf>
    <xf numFmtId="0" fontId="24" fillId="6" borderId="21" xfId="0" applyFont="1" applyFill="1" applyBorder="1" applyAlignment="1">
      <alignment horizontal="center" vertical="center" wrapText="1" readingOrder="1"/>
    </xf>
    <xf numFmtId="180" fontId="24" fillId="6" borderId="21" xfId="1" applyNumberFormat="1" applyFont="1" applyFill="1" applyBorder="1" applyAlignment="1">
      <alignment vertical="center" wrapText="1" readingOrder="1"/>
    </xf>
    <xf numFmtId="181" fontId="24" fillId="6" borderId="21" xfId="0" applyNumberFormat="1" applyFont="1" applyFill="1" applyBorder="1" applyAlignment="1">
      <alignment horizontal="center" vertical="center" wrapText="1" readingOrder="1"/>
    </xf>
    <xf numFmtId="181" fontId="24" fillId="6" borderId="13" xfId="0" applyNumberFormat="1" applyFont="1" applyFill="1" applyBorder="1" applyAlignment="1">
      <alignment horizontal="center" vertical="center" wrapText="1" readingOrder="1"/>
    </xf>
    <xf numFmtId="181" fontId="24" fillId="6" borderId="22" xfId="0" applyNumberFormat="1" applyFont="1" applyFill="1" applyBorder="1" applyAlignment="1">
      <alignment horizontal="center" vertical="center" wrapText="1" readingOrder="1"/>
    </xf>
    <xf numFmtId="181" fontId="24" fillId="6" borderId="19" xfId="0" applyNumberFormat="1" applyFont="1" applyFill="1" applyBorder="1" applyAlignment="1">
      <alignment horizontal="center" vertical="center" wrapText="1" readingOrder="1"/>
    </xf>
    <xf numFmtId="0" fontId="26" fillId="0" borderId="0" xfId="0" applyFont="1" applyAlignment="1">
      <alignment horizontal="left" vertical="center" readingOrder="1"/>
    </xf>
    <xf numFmtId="0" fontId="19" fillId="5" borderId="10" xfId="0" applyFont="1" applyFill="1" applyBorder="1" applyAlignment="1">
      <alignment horizontal="center" vertical="center" wrapText="1" readingOrder="1"/>
    </xf>
    <xf numFmtId="0" fontId="17" fillId="6" borderId="13" xfId="0" applyFont="1" applyFill="1" applyBorder="1" applyAlignment="1">
      <alignment horizontal="center" vertical="center" wrapText="1"/>
    </xf>
    <xf numFmtId="9" fontId="20" fillId="6" borderId="13" xfId="0" applyNumberFormat="1" applyFont="1" applyFill="1" applyBorder="1" applyAlignment="1">
      <alignment horizontal="center" vertical="center" wrapText="1" readingOrder="1"/>
    </xf>
    <xf numFmtId="0" fontId="20" fillId="6" borderId="15" xfId="0" applyFont="1" applyFill="1" applyBorder="1" applyAlignment="1">
      <alignment horizontal="center" vertical="center" wrapText="1" readingOrder="1"/>
    </xf>
    <xf numFmtId="9" fontId="20" fillId="6" borderId="16" xfId="0" applyNumberFormat="1" applyFont="1" applyFill="1" applyBorder="1" applyAlignment="1">
      <alignment horizontal="center" vertical="center" wrapText="1" readingOrder="1"/>
    </xf>
    <xf numFmtId="0" fontId="27" fillId="0" borderId="0" xfId="0" applyFont="1" applyAlignment="1">
      <alignment horizontal="left" vertical="center" readingOrder="1"/>
    </xf>
    <xf numFmtId="0" fontId="17" fillId="6" borderId="12" xfId="0" applyFont="1" applyFill="1" applyBorder="1" applyAlignment="1">
      <alignment horizontal="center" vertical="center" wrapText="1"/>
    </xf>
    <xf numFmtId="3" fontId="20" fillId="6" borderId="13" xfId="0" applyNumberFormat="1" applyFont="1" applyFill="1" applyBorder="1" applyAlignment="1">
      <alignment horizontal="center" vertical="center" wrapText="1" readingOrder="1"/>
    </xf>
    <xf numFmtId="9" fontId="20" fillId="6" borderId="12" xfId="0" applyNumberFormat="1" applyFont="1" applyFill="1" applyBorder="1" applyAlignment="1">
      <alignment horizontal="center" vertical="center" wrapText="1" readingOrder="1"/>
    </xf>
    <xf numFmtId="9" fontId="20" fillId="6" borderId="15" xfId="0" applyNumberFormat="1" applyFont="1" applyFill="1" applyBorder="1" applyAlignment="1">
      <alignment horizontal="center" vertical="center" wrapText="1" readingOrder="1"/>
    </xf>
    <xf numFmtId="3" fontId="20" fillId="6" borderId="15" xfId="0" applyNumberFormat="1" applyFont="1" applyFill="1" applyBorder="1" applyAlignment="1">
      <alignment horizontal="center" vertical="center" wrapText="1" readingOrder="1"/>
    </xf>
    <xf numFmtId="3" fontId="20" fillId="6" borderId="16" xfId="0" applyNumberFormat="1" applyFont="1" applyFill="1" applyBorder="1" applyAlignment="1">
      <alignment horizontal="center" vertical="center" wrapText="1" readingOrder="1"/>
    </xf>
    <xf numFmtId="0" fontId="19" fillId="5" borderId="23" xfId="0" applyFont="1" applyFill="1" applyBorder="1" applyAlignment="1">
      <alignment horizontal="center" vertical="center" wrapText="1" readingOrder="1"/>
    </xf>
    <xf numFmtId="3" fontId="30" fillId="0" borderId="0" xfId="0" applyNumberFormat="1" applyFont="1">
      <alignment vertical="center"/>
    </xf>
    <xf numFmtId="10" fontId="30" fillId="3" borderId="0" xfId="0" applyNumberFormat="1" applyFont="1" applyFill="1">
      <alignment vertical="center"/>
    </xf>
    <xf numFmtId="176" fontId="30" fillId="0" borderId="0" xfId="0" applyNumberFormat="1" applyFont="1">
      <alignment vertical="center"/>
    </xf>
    <xf numFmtId="10" fontId="30" fillId="0" borderId="0" xfId="2" applyNumberFormat="1" applyFont="1">
      <alignment vertical="center"/>
    </xf>
    <xf numFmtId="0" fontId="31" fillId="7" borderId="7" xfId="0" applyFont="1" applyFill="1" applyBorder="1" applyAlignment="1">
      <alignment horizontal="center" vertical="center" wrapText="1" readingOrder="1"/>
    </xf>
    <xf numFmtId="0" fontId="31" fillId="0" borderId="7" xfId="0" applyFont="1" applyBorder="1" applyAlignment="1">
      <alignment horizontal="center" vertical="center" wrapText="1" readingOrder="1"/>
    </xf>
    <xf numFmtId="3" fontId="31" fillId="0" borderId="7" xfId="0" applyNumberFormat="1" applyFont="1" applyBorder="1" applyAlignment="1">
      <alignment horizontal="center" vertical="center" wrapText="1" readingOrder="1"/>
    </xf>
    <xf numFmtId="10" fontId="10" fillId="0" borderId="7" xfId="2" applyNumberFormat="1" applyFont="1" applyBorder="1">
      <alignment vertical="center"/>
    </xf>
    <xf numFmtId="176" fontId="30" fillId="3" borderId="0" xfId="2" applyNumberFormat="1" applyFont="1" applyFill="1">
      <alignment vertical="center"/>
    </xf>
    <xf numFmtId="10" fontId="30" fillId="3" borderId="0" xfId="2" applyNumberFormat="1" applyFont="1" applyFill="1">
      <alignment vertical="center"/>
    </xf>
    <xf numFmtId="0" fontId="32" fillId="0" borderId="0" xfId="0" applyFont="1" applyAlignment="1">
      <alignment horizontal="left" vertical="center" readingOrder="1"/>
    </xf>
    <xf numFmtId="0" fontId="18" fillId="5" borderId="12" xfId="0" applyFont="1" applyFill="1" applyBorder="1" applyAlignment="1">
      <alignment horizontal="center" vertical="center" wrapText="1" readingOrder="1"/>
    </xf>
    <xf numFmtId="0" fontId="18" fillId="5" borderId="13" xfId="0" applyFont="1" applyFill="1" applyBorder="1" applyAlignment="1">
      <alignment horizontal="center" vertical="center" wrapText="1" readingOrder="1"/>
    </xf>
    <xf numFmtId="10" fontId="20" fillId="6" borderId="12" xfId="0" applyNumberFormat="1" applyFont="1" applyFill="1" applyBorder="1" applyAlignment="1">
      <alignment horizontal="center" vertical="center" wrapText="1" readingOrder="1"/>
    </xf>
    <xf numFmtId="10" fontId="20" fillId="6" borderId="13" xfId="0" applyNumberFormat="1" applyFont="1" applyFill="1" applyBorder="1" applyAlignment="1">
      <alignment horizontal="center" vertical="center" wrapText="1" readingOrder="1"/>
    </xf>
    <xf numFmtId="0" fontId="20" fillId="8" borderId="14" xfId="0" applyFont="1" applyFill="1" applyBorder="1" applyAlignment="1">
      <alignment horizontal="center" vertical="center" wrapText="1" readingOrder="1"/>
    </xf>
    <xf numFmtId="9" fontId="20" fillId="8" borderId="15" xfId="0" applyNumberFormat="1" applyFont="1" applyFill="1" applyBorder="1" applyAlignment="1">
      <alignment horizontal="center" vertical="center" wrapText="1" readingOrder="1"/>
    </xf>
    <xf numFmtId="10" fontId="20" fillId="8" borderId="16" xfId="0" applyNumberFormat="1" applyFont="1" applyFill="1" applyBorder="1" applyAlignment="1">
      <alignment horizontal="center" vertical="center" wrapText="1" readingOrder="1"/>
    </xf>
    <xf numFmtId="182" fontId="33" fillId="0" borderId="0" xfId="0" applyNumberFormat="1" applyFont="1">
      <alignment vertical="center"/>
    </xf>
    <xf numFmtId="0" fontId="33" fillId="0" borderId="0" xfId="0" applyFont="1">
      <alignment vertical="center"/>
    </xf>
    <xf numFmtId="0" fontId="18" fillId="5" borderId="9" xfId="0" applyFont="1" applyFill="1" applyBorder="1" applyAlignment="1">
      <alignment horizontal="center" vertical="center" wrapText="1" readingOrder="1"/>
    </xf>
    <xf numFmtId="0" fontId="18" fillId="5" borderId="9" xfId="0" applyFont="1" applyFill="1" applyBorder="1" applyAlignment="1">
      <alignment horizontal="left" vertical="center" wrapText="1" readingOrder="1"/>
    </xf>
    <xf numFmtId="0" fontId="18" fillId="5" borderId="10" xfId="0" applyFont="1" applyFill="1" applyBorder="1" applyAlignment="1">
      <alignment horizontal="left" vertical="center" wrapText="1" readingOrder="1"/>
    </xf>
    <xf numFmtId="10" fontId="20" fillId="6" borderId="15" xfId="0" applyNumberFormat="1" applyFont="1" applyFill="1" applyBorder="1" applyAlignment="1">
      <alignment horizontal="center" vertical="center" wrapText="1" readingOrder="1"/>
    </xf>
    <xf numFmtId="0" fontId="17" fillId="6" borderId="16" xfId="0" applyFont="1" applyFill="1" applyBorder="1" applyAlignment="1">
      <alignment horizontal="center" vertical="center" wrapText="1"/>
    </xf>
    <xf numFmtId="183" fontId="33" fillId="0" borderId="0" xfId="1" applyNumberFormat="1" applyFont="1">
      <alignment vertical="center"/>
    </xf>
    <xf numFmtId="181" fontId="33" fillId="0" borderId="0" xfId="0" applyNumberFormat="1" applyFont="1">
      <alignment vertical="center"/>
    </xf>
    <xf numFmtId="176" fontId="33" fillId="0" borderId="0" xfId="0" applyNumberFormat="1" applyFont="1">
      <alignment vertical="center"/>
    </xf>
    <xf numFmtId="180" fontId="33" fillId="0" borderId="0" xfId="1" applyNumberFormat="1" applyFont="1">
      <alignment vertical="center"/>
    </xf>
    <xf numFmtId="178" fontId="0" fillId="3" borderId="7" xfId="0" applyNumberFormat="1" applyFill="1" applyBorder="1">
      <alignment vertical="center"/>
    </xf>
    <xf numFmtId="0" fontId="6" fillId="0" borderId="2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 readingOrder="1"/>
    </xf>
    <xf numFmtId="0" fontId="6" fillId="0" borderId="6" xfId="0" applyFont="1" applyBorder="1" applyAlignment="1">
      <alignment horizontal="center" vertical="center" wrapText="1" readingOrder="1"/>
    </xf>
    <xf numFmtId="0" fontId="6" fillId="0" borderId="7" xfId="0" applyFont="1" applyBorder="1" applyAlignment="1">
      <alignment horizontal="center" vertical="center" wrapText="1" readingOrder="1"/>
    </xf>
    <xf numFmtId="0" fontId="18" fillId="5" borderId="24" xfId="0" applyFont="1" applyFill="1" applyBorder="1" applyAlignment="1">
      <alignment horizontal="center" vertical="center" wrapText="1" readingOrder="1"/>
    </xf>
    <xf numFmtId="0" fontId="18" fillId="5" borderId="25" xfId="0" applyFont="1" applyFill="1" applyBorder="1" applyAlignment="1">
      <alignment horizontal="center" vertical="center" wrapText="1" readingOrder="1"/>
    </xf>
    <xf numFmtId="0" fontId="18" fillId="5" borderId="10" xfId="0" applyFont="1" applyFill="1" applyBorder="1" applyAlignment="1">
      <alignment horizontal="center" vertical="center" wrapText="1" readingOrder="1"/>
    </xf>
    <xf numFmtId="0" fontId="18" fillId="5" borderId="8" xfId="0" applyFont="1" applyFill="1" applyBorder="1" applyAlignment="1">
      <alignment horizontal="center" vertical="center" wrapText="1" readingOrder="1"/>
    </xf>
    <xf numFmtId="0" fontId="18" fillId="5" borderId="26" xfId="0" applyFont="1" applyFill="1" applyBorder="1" applyAlignment="1">
      <alignment horizontal="center" vertical="center" wrapText="1" readingOrder="1"/>
    </xf>
    <xf numFmtId="0" fontId="23" fillId="5" borderId="9" xfId="0" applyFont="1" applyFill="1" applyBorder="1" applyAlignment="1">
      <alignment horizontal="center" vertical="center" wrapText="1" readingOrder="1"/>
    </xf>
    <xf numFmtId="1" fontId="24" fillId="6" borderId="11" xfId="0" applyNumberFormat="1" applyFont="1" applyFill="1" applyBorder="1" applyAlignment="1">
      <alignment horizontal="center" vertical="center" wrapText="1" readingOrder="1"/>
    </xf>
    <xf numFmtId="185" fontId="24" fillId="6" borderId="12" xfId="1" applyNumberFormat="1" applyFont="1" applyFill="1" applyBorder="1" applyAlignment="1">
      <alignment horizontal="center" vertical="center" wrapText="1" readingOrder="1"/>
    </xf>
    <xf numFmtId="185" fontId="25" fillId="6" borderId="18" xfId="0" applyNumberFormat="1" applyFont="1" applyFill="1" applyBorder="1" applyAlignment="1">
      <alignment horizontal="center" vertical="center" wrapText="1"/>
    </xf>
    <xf numFmtId="1" fontId="24" fillId="6" borderId="20" xfId="0" applyNumberFormat="1" applyFont="1" applyFill="1" applyBorder="1" applyAlignment="1">
      <alignment horizontal="center" vertical="center" wrapText="1" readingOrder="1"/>
    </xf>
    <xf numFmtId="185" fontId="24" fillId="6" borderId="21" xfId="1" applyNumberFormat="1" applyFont="1" applyFill="1" applyBorder="1" applyAlignment="1">
      <alignment horizontal="center" vertical="center" wrapText="1" readingOrder="1"/>
    </xf>
    <xf numFmtId="181" fontId="24" fillId="6" borderId="23" xfId="0" applyNumberFormat="1" applyFont="1" applyFill="1" applyBorder="1" applyAlignment="1">
      <alignment horizontal="center" vertical="center" wrapText="1" readingOrder="1"/>
    </xf>
    <xf numFmtId="41" fontId="0" fillId="0" borderId="0" xfId="1" applyFont="1" applyAlignment="1">
      <alignment vertical="center"/>
    </xf>
    <xf numFmtId="0" fontId="6" fillId="0" borderId="27" xfId="0" applyFont="1" applyBorder="1" applyAlignment="1">
      <alignment horizontal="center" vertical="center" wrapText="1" readingOrder="1"/>
    </xf>
    <xf numFmtId="0" fontId="35" fillId="6" borderId="0" xfId="0" applyFont="1" applyFill="1" applyBorder="1" applyAlignment="1">
      <alignment vertical="center" wrapText="1" readingOrder="1"/>
    </xf>
    <xf numFmtId="0" fontId="35" fillId="0" borderId="0" xfId="0" applyFont="1">
      <alignment vertical="center"/>
    </xf>
    <xf numFmtId="0" fontId="35" fillId="0" borderId="0" xfId="0" applyFont="1" applyAlignment="1">
      <alignment horizontal="left" vertical="center" readingOrder="1"/>
    </xf>
    <xf numFmtId="10" fontId="37" fillId="0" borderId="0" xfId="0" applyNumberFormat="1" applyFont="1">
      <alignment vertical="center"/>
    </xf>
    <xf numFmtId="0" fontId="37" fillId="0" borderId="0" xfId="0" applyFont="1">
      <alignment vertical="center"/>
    </xf>
    <xf numFmtId="181" fontId="37" fillId="0" borderId="0" xfId="0" applyNumberFormat="1" applyFont="1">
      <alignment vertical="center"/>
    </xf>
    <xf numFmtId="186" fontId="37" fillId="0" borderId="0" xfId="0" applyNumberFormat="1" applyFont="1">
      <alignment vertical="center"/>
    </xf>
    <xf numFmtId="0" fontId="38" fillId="0" borderId="0" xfId="0" applyFont="1">
      <alignment vertical="center"/>
    </xf>
    <xf numFmtId="10" fontId="39" fillId="0" borderId="0" xfId="0" applyNumberFormat="1" applyFont="1">
      <alignment vertical="center"/>
    </xf>
    <xf numFmtId="10" fontId="37" fillId="3" borderId="7" xfId="0" applyNumberFormat="1" applyFont="1" applyFill="1" applyBorder="1">
      <alignment vertical="center"/>
    </xf>
    <xf numFmtId="181" fontId="39" fillId="0" borderId="0" xfId="0" applyNumberFormat="1" applyFont="1">
      <alignment vertical="center"/>
    </xf>
    <xf numFmtId="10" fontId="39" fillId="3" borderId="7" xfId="2" applyNumberFormat="1" applyFont="1" applyFill="1" applyBorder="1">
      <alignment vertical="center"/>
    </xf>
    <xf numFmtId="2" fontId="13" fillId="0" borderId="7" xfId="0" applyNumberFormat="1" applyFont="1" applyBorder="1">
      <alignment vertical="center"/>
    </xf>
    <xf numFmtId="0" fontId="34" fillId="0" borderId="0" xfId="0" applyFont="1" applyAlignment="1">
      <alignment horizontal="center" vertical="center" readingOrder="1"/>
    </xf>
    <xf numFmtId="2" fontId="20" fillId="6" borderId="12" xfId="0" applyNumberFormat="1" applyFont="1" applyFill="1" applyBorder="1" applyAlignment="1">
      <alignment horizontal="center" vertical="center" wrapText="1" readingOrder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RISK </a:t>
            </a:r>
            <a:r>
              <a:rPr lang="ko-KR" altLang="en-US"/>
              <a:t>포트폴리오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AF-4841-ACBD-E68930BA39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AF-4841-ACBD-E68930BA39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AF-4841-ACBD-E68930BA39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AF-4841-ACBD-E68930BA39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AF-4841-ACBD-E68930BA39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'Risk Portfolio'!$B$3:$B$7</c:f>
              <c:strCache>
                <c:ptCount val="5"/>
                <c:pt idx="0">
                  <c:v>KOSPI</c:v>
                </c:pt>
                <c:pt idx="1">
                  <c:v>S&amp;P500</c:v>
                </c:pt>
                <c:pt idx="2">
                  <c:v>DAX</c:v>
                </c:pt>
                <c:pt idx="3">
                  <c:v>Nikkei225</c:v>
                </c:pt>
                <c:pt idx="4">
                  <c:v>Nifty50</c:v>
                </c:pt>
              </c:strCache>
            </c:strRef>
          </c:cat>
          <c:val>
            <c:numRef>
              <c:f>'Risk Portfolio'!$C$3:$C$7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AF-4841-ACBD-E68930BA3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포트폴리오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30-40FD-B765-C9484FC62A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30-40FD-B765-C9484FC62A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30-40FD-B765-C9484FC62A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30-40FD-B765-C9484FC62A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30-40FD-B765-C9484FC62A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Portfolio_Case!$B$3:$B$7</c:f>
              <c:strCache>
                <c:ptCount val="5"/>
                <c:pt idx="0">
                  <c:v>주식</c:v>
                </c:pt>
                <c:pt idx="1">
                  <c:v>장기채권</c:v>
                </c:pt>
                <c:pt idx="2">
                  <c:v>대체투자</c:v>
                </c:pt>
                <c:pt idx="3">
                  <c:v>부동산 펀드</c:v>
                </c:pt>
                <c:pt idx="4">
                  <c:v>단기금융상품</c:v>
                </c:pt>
              </c:strCache>
            </c:strRef>
          </c:cat>
          <c:val>
            <c:numRef>
              <c:f>Portfolio_Case!$C$3:$C$7</c:f>
              <c:numCache>
                <c:formatCode>0%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D-447C-8EF3-10066B58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10</xdr:row>
      <xdr:rowOff>61911</xdr:rowOff>
    </xdr:from>
    <xdr:to>
      <xdr:col>6</xdr:col>
      <xdr:colOff>28576</xdr:colOff>
      <xdr:row>24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4D672D-A326-482E-8140-D9BB2B8FC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619126</xdr:colOff>
      <xdr:row>13</xdr:row>
      <xdr:rowOff>61911</xdr:rowOff>
    </xdr:from>
    <xdr:to>
      <xdr:col>6</xdr:col>
      <xdr:colOff>28576</xdr:colOff>
      <xdr:row>27</xdr:row>
      <xdr:rowOff>200024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D5A7033-46E9-472F-A84D-354E91E0E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187594</xdr:colOff>
      <xdr:row>11</xdr:row>
      <xdr:rowOff>147300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665C57F-BC40-480A-8FA7-8F0D0E972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752475"/>
          <a:ext cx="4188094" cy="1823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7C75-8746-48F9-97F6-1CF16C388926}">
  <dimension ref="A2:F52"/>
  <sheetViews>
    <sheetView tabSelected="1" zoomScale="150" zoomScaleNormal="150" workbookViewId="0">
      <selection activeCell="E9" sqref="E9"/>
    </sheetView>
  </sheetViews>
  <sheetFormatPr defaultRowHeight="16.5"/>
  <cols>
    <col min="2" max="2" width="12.875" customWidth="1"/>
    <col min="3" max="3" width="9.125" bestFit="1" customWidth="1"/>
    <col min="4" max="4" width="15" customWidth="1"/>
    <col min="5" max="5" width="14.5" customWidth="1"/>
    <col min="6" max="6" width="13.875" bestFit="1" customWidth="1"/>
  </cols>
  <sheetData>
    <row r="2" spans="1:6">
      <c r="B2" s="43" t="s">
        <v>52</v>
      </c>
    </row>
    <row r="3" spans="1:6">
      <c r="B3" s="129" t="s">
        <v>53</v>
      </c>
      <c r="C3" s="40"/>
      <c r="D3" s="41">
        <v>0.03</v>
      </c>
      <c r="E3" s="18"/>
      <c r="F3" s="41"/>
    </row>
    <row r="4" spans="1:6">
      <c r="B4" s="40" t="s">
        <v>54</v>
      </c>
      <c r="C4" s="40"/>
      <c r="D4" s="41">
        <v>0.09</v>
      </c>
      <c r="E4" s="18"/>
      <c r="F4" s="41"/>
    </row>
    <row r="5" spans="1:6">
      <c r="B5" t="s">
        <v>55</v>
      </c>
      <c r="D5" s="18">
        <f>D4-D3</f>
        <v>0.06</v>
      </c>
      <c r="E5" s="18"/>
      <c r="F5" s="18"/>
    </row>
    <row r="6" spans="1:6">
      <c r="B6" t="s">
        <v>56</v>
      </c>
      <c r="D6" s="42">
        <v>1.2</v>
      </c>
    </row>
    <row r="7" spans="1:6">
      <c r="B7" t="s">
        <v>57</v>
      </c>
      <c r="D7" s="110">
        <f>D3+D6*D5</f>
        <v>0.10199999999999999</v>
      </c>
    </row>
    <row r="10" spans="1:6">
      <c r="B10" s="43" t="s">
        <v>58</v>
      </c>
    </row>
    <row r="11" spans="1:6">
      <c r="A11" t="s">
        <v>59</v>
      </c>
      <c r="B11" t="s">
        <v>60</v>
      </c>
      <c r="C11" s="18">
        <v>0.05</v>
      </c>
      <c r="D11" t="s">
        <v>61</v>
      </c>
      <c r="E11" t="s">
        <v>62</v>
      </c>
    </row>
    <row r="12" spans="1:6">
      <c r="B12" t="s">
        <v>63</v>
      </c>
      <c r="C12" s="18">
        <v>0.06</v>
      </c>
      <c r="D12" t="s">
        <v>64</v>
      </c>
    </row>
    <row r="13" spans="1:6" ht="17.25" thickBot="1"/>
    <row r="14" spans="1:6" ht="30.75" thickTop="1">
      <c r="B14" s="50" t="s">
        <v>65</v>
      </c>
      <c r="C14" s="51" t="s">
        <v>66</v>
      </c>
      <c r="D14" s="122" t="s">
        <v>111</v>
      </c>
      <c r="E14" s="51" t="s">
        <v>68</v>
      </c>
      <c r="F14" s="52" t="s">
        <v>69</v>
      </c>
    </row>
    <row r="15" spans="1:6">
      <c r="B15" s="53">
        <v>1</v>
      </c>
      <c r="C15" s="54">
        <f>10000*$C$11</f>
        <v>500</v>
      </c>
      <c r="D15" s="56">
        <f>+C15/(1+$C$12)^B15</f>
        <v>471.69811320754712</v>
      </c>
      <c r="E15" s="55">
        <f>D15/$D$20</f>
        <v>4.9244154240489217E-2</v>
      </c>
      <c r="F15" s="64">
        <f>E15*B15</f>
        <v>4.9244154240489217E-2</v>
      </c>
    </row>
    <row r="16" spans="1:6">
      <c r="B16" s="53">
        <v>2</v>
      </c>
      <c r="C16" s="54">
        <f t="shared" ref="C16:C18" si="0">10000*$C$11</f>
        <v>500</v>
      </c>
      <c r="D16" s="56">
        <f t="shared" ref="D16:D19" si="1">+C16/(1+$C$12)^B16</f>
        <v>444.99822000711993</v>
      </c>
      <c r="E16" s="55">
        <f t="shared" ref="E16:E19" si="2">D16/$D$20</f>
        <v>4.6456749283480391E-2</v>
      </c>
      <c r="F16" s="64">
        <f t="shared" ref="F16:F19" si="3">E16*B16</f>
        <v>9.2913498566960781E-2</v>
      </c>
    </row>
    <row r="17" spans="1:6">
      <c r="B17" s="53">
        <v>3</v>
      </c>
      <c r="C17" s="54">
        <f t="shared" si="0"/>
        <v>500</v>
      </c>
      <c r="D17" s="56">
        <f t="shared" si="1"/>
        <v>419.8096415161508</v>
      </c>
      <c r="E17" s="55">
        <f t="shared" si="2"/>
        <v>4.3827121965547534E-2</v>
      </c>
      <c r="F17" s="64">
        <f t="shared" si="3"/>
        <v>0.13148136589664261</v>
      </c>
    </row>
    <row r="18" spans="1:6">
      <c r="B18" s="53">
        <v>4</v>
      </c>
      <c r="C18" s="54">
        <f t="shared" si="0"/>
        <v>500</v>
      </c>
      <c r="D18" s="56">
        <f t="shared" si="1"/>
        <v>396.04683161901022</v>
      </c>
      <c r="E18" s="55">
        <f t="shared" si="2"/>
        <v>4.1346341476931635E-2</v>
      </c>
      <c r="F18" s="64">
        <f t="shared" si="3"/>
        <v>0.16538536590772654</v>
      </c>
    </row>
    <row r="19" spans="1:6">
      <c r="B19" s="60">
        <v>5</v>
      </c>
      <c r="C19" s="61">
        <f>10000*$C$11+10000</f>
        <v>10500</v>
      </c>
      <c r="D19" s="62">
        <f t="shared" si="1"/>
        <v>7846.2108150935974</v>
      </c>
      <c r="E19" s="63">
        <f t="shared" si="2"/>
        <v>0.81912563303355113</v>
      </c>
      <c r="F19" s="65">
        <f t="shared" si="3"/>
        <v>4.0956281651677555</v>
      </c>
    </row>
    <row r="20" spans="1:6" ht="17.25" thickBot="1">
      <c r="B20" s="57" t="s">
        <v>51</v>
      </c>
      <c r="C20" s="58"/>
      <c r="D20" s="59">
        <f>SUM(D15:D19)</f>
        <v>9578.763621443426</v>
      </c>
      <c r="E20" s="58"/>
      <c r="F20" s="66">
        <f>SUM(F15:F19)</f>
        <v>4.5346525497795742</v>
      </c>
    </row>
    <row r="21" spans="1:6" ht="17.25" thickTop="1"/>
    <row r="23" spans="1:6">
      <c r="B23" s="43" t="s">
        <v>58</v>
      </c>
    </row>
    <row r="24" spans="1:6">
      <c r="A24" t="s">
        <v>59</v>
      </c>
      <c r="B24" t="s">
        <v>60</v>
      </c>
      <c r="C24" s="18">
        <v>0.05</v>
      </c>
      <c r="D24" t="s">
        <v>61</v>
      </c>
      <c r="E24" t="s">
        <v>70</v>
      </c>
    </row>
    <row r="25" spans="1:6">
      <c r="B25" t="s">
        <v>63</v>
      </c>
      <c r="C25" s="18">
        <v>0.06</v>
      </c>
      <c r="D25" t="s">
        <v>64</v>
      </c>
    </row>
    <row r="26" spans="1:6" ht="17.25" thickBot="1"/>
    <row r="27" spans="1:6" ht="30.75" thickTop="1">
      <c r="B27" s="50" t="s">
        <v>65</v>
      </c>
      <c r="C27" s="51" t="s">
        <v>66</v>
      </c>
      <c r="D27" s="51" t="s">
        <v>67</v>
      </c>
      <c r="E27" s="51" t="s">
        <v>68</v>
      </c>
      <c r="F27" s="52" t="s">
        <v>69</v>
      </c>
    </row>
    <row r="28" spans="1:6">
      <c r="B28" s="53">
        <v>1</v>
      </c>
      <c r="C28" s="54">
        <f>10000*$C$24</f>
        <v>500</v>
      </c>
      <c r="D28" s="56">
        <f>+C28/(1+$C$25)^B28</f>
        <v>471.69811320754712</v>
      </c>
      <c r="E28" s="55">
        <f>D28/$D$31</f>
        <v>4.8465294432271093E-2</v>
      </c>
      <c r="F28" s="64">
        <f>E28*B28</f>
        <v>4.8465294432271093E-2</v>
      </c>
    </row>
    <row r="29" spans="1:6">
      <c r="B29" s="53">
        <v>2</v>
      </c>
      <c r="C29" s="54">
        <f>10000*$C$24</f>
        <v>500</v>
      </c>
      <c r="D29" s="56">
        <f t="shared" ref="D29" si="4">+C29/(1+$C$25)^B29</f>
        <v>444.99822000711993</v>
      </c>
      <c r="E29" s="55">
        <f>D29/$D$31</f>
        <v>4.5721975879501033E-2</v>
      </c>
      <c r="F29" s="64">
        <f>E29*B29</f>
        <v>9.1443951759002065E-2</v>
      </c>
    </row>
    <row r="30" spans="1:6">
      <c r="B30" s="60">
        <v>3</v>
      </c>
      <c r="C30" s="61">
        <f>10000*$C$24+10000</f>
        <v>10500</v>
      </c>
      <c r="D30" s="62">
        <f>+C30/(1+$C$25)^B30</f>
        <v>8816.0024718391669</v>
      </c>
      <c r="E30" s="63">
        <f>D30/$D$31</f>
        <v>0.90581272968822779</v>
      </c>
      <c r="F30" s="65">
        <f>E30*B30</f>
        <v>2.7174381890646835</v>
      </c>
    </row>
    <row r="31" spans="1:6" ht="17.25" thickBot="1">
      <c r="B31" s="57" t="s">
        <v>51</v>
      </c>
      <c r="C31" s="58"/>
      <c r="D31" s="59">
        <f>SUM(D28:D30)</f>
        <v>9732.6988050538348</v>
      </c>
      <c r="E31" s="58"/>
      <c r="F31" s="66">
        <f>SUM(F28:F30)</f>
        <v>2.8573474352559565</v>
      </c>
    </row>
    <row r="32" spans="1:6" ht="17.25" thickTop="1"/>
    <row r="34" spans="1:6">
      <c r="B34" s="43" t="s">
        <v>58</v>
      </c>
    </row>
    <row r="35" spans="1:6">
      <c r="A35" t="s">
        <v>59</v>
      </c>
      <c r="B35" t="s">
        <v>60</v>
      </c>
      <c r="C35" s="18">
        <v>0.04</v>
      </c>
      <c r="D35" t="s">
        <v>61</v>
      </c>
      <c r="E35" t="s">
        <v>70</v>
      </c>
    </row>
    <row r="36" spans="1:6">
      <c r="B36" t="s">
        <v>63</v>
      </c>
      <c r="C36" s="18">
        <v>0.05</v>
      </c>
      <c r="D36" t="s">
        <v>112</v>
      </c>
    </row>
    <row r="37" spans="1:6" ht="17.25" thickBot="1"/>
    <row r="38" spans="1:6" ht="30.75" thickTop="1">
      <c r="B38" s="50" t="s">
        <v>65</v>
      </c>
      <c r="C38" s="51" t="s">
        <v>66</v>
      </c>
      <c r="D38" s="51" t="s">
        <v>67</v>
      </c>
      <c r="E38" s="51" t="s">
        <v>68</v>
      </c>
      <c r="F38" s="52" t="s">
        <v>69</v>
      </c>
    </row>
    <row r="39" spans="1:6">
      <c r="B39" s="123">
        <v>1</v>
      </c>
      <c r="C39" s="54">
        <f>10000*$C$35/4</f>
        <v>100</v>
      </c>
      <c r="D39" s="124">
        <f>+C39/(1+$C$36/4)^B39</f>
        <v>98.76543209876543</v>
      </c>
      <c r="E39" s="55">
        <f>D39/$D$51</f>
        <v>1.0157899555103182E-2</v>
      </c>
      <c r="F39" s="64">
        <f>E39*B39</f>
        <v>1.0157899555103182E-2</v>
      </c>
    </row>
    <row r="40" spans="1:6">
      <c r="B40" s="123">
        <v>2</v>
      </c>
      <c r="C40" s="54">
        <f t="shared" ref="C40:C49" si="5">10000*$C$35/4</f>
        <v>100</v>
      </c>
      <c r="D40" s="124">
        <f t="shared" ref="D40:D50" si="6">+C40/(1+$C$36/4)^B40</f>
        <v>97.546105776558448</v>
      </c>
      <c r="E40" s="55">
        <f t="shared" ref="E40:E50" si="7">D40/$D$51</f>
        <v>1.003249338775623E-2</v>
      </c>
      <c r="F40" s="64">
        <f t="shared" ref="F40:F50" si="8">E40*B40</f>
        <v>2.006498677551246E-2</v>
      </c>
    </row>
    <row r="41" spans="1:6">
      <c r="B41" s="123">
        <v>3</v>
      </c>
      <c r="C41" s="54">
        <f t="shared" si="5"/>
        <v>100</v>
      </c>
      <c r="D41" s="124">
        <f t="shared" si="6"/>
        <v>96.341832865736762</v>
      </c>
      <c r="E41" s="55">
        <f t="shared" si="7"/>
        <v>9.9086354446975122E-3</v>
      </c>
      <c r="F41" s="64">
        <f t="shared" si="8"/>
        <v>2.9725906334092535E-2</v>
      </c>
    </row>
    <row r="42" spans="1:6">
      <c r="B42" s="123">
        <v>4</v>
      </c>
      <c r="C42" s="54">
        <f t="shared" si="5"/>
        <v>100</v>
      </c>
      <c r="D42" s="124">
        <f t="shared" si="6"/>
        <v>95.15242752171531</v>
      </c>
      <c r="E42" s="55">
        <f t="shared" si="7"/>
        <v>9.7863066120469251E-3</v>
      </c>
      <c r="F42" s="64">
        <f t="shared" si="8"/>
        <v>3.91452264481877E-2</v>
      </c>
    </row>
    <row r="43" spans="1:6">
      <c r="B43" s="123">
        <v>5</v>
      </c>
      <c r="C43" s="54">
        <f t="shared" si="5"/>
        <v>100</v>
      </c>
      <c r="D43" s="124">
        <f t="shared" si="6"/>
        <v>93.977706194286739</v>
      </c>
      <c r="E43" s="55">
        <f t="shared" si="7"/>
        <v>9.6654880118981993E-3</v>
      </c>
      <c r="F43" s="64">
        <f t="shared" si="8"/>
        <v>4.8327440059490995E-2</v>
      </c>
    </row>
    <row r="44" spans="1:6">
      <c r="B44" s="123">
        <v>6</v>
      </c>
      <c r="C44" s="54">
        <f t="shared" si="5"/>
        <v>100</v>
      </c>
      <c r="D44" s="124">
        <f t="shared" si="6"/>
        <v>92.817487599295532</v>
      </c>
      <c r="E44" s="55">
        <f t="shared" si="7"/>
        <v>9.5461609994056274E-3</v>
      </c>
      <c r="F44" s="64">
        <f t="shared" si="8"/>
        <v>5.7276965996433768E-2</v>
      </c>
    </row>
    <row r="45" spans="1:6">
      <c r="B45" s="123">
        <v>7</v>
      </c>
      <c r="C45" s="54">
        <f t="shared" si="5"/>
        <v>100</v>
      </c>
      <c r="D45" s="124">
        <f t="shared" si="6"/>
        <v>91.671592690662266</v>
      </c>
      <c r="E45" s="55">
        <f t="shared" si="7"/>
        <v>9.428307159906793E-3</v>
      </c>
      <c r="F45" s="64">
        <f t="shared" si="8"/>
        <v>6.5998150119347551E-2</v>
      </c>
    </row>
    <row r="46" spans="1:6">
      <c r="B46" s="123">
        <v>8</v>
      </c>
      <c r="C46" s="54">
        <f t="shared" si="5"/>
        <v>100</v>
      </c>
      <c r="D46" s="124">
        <f t="shared" si="6"/>
        <v>90.539844632752846</v>
      </c>
      <c r="E46" s="55">
        <f t="shared" si="7"/>
        <v>9.3119083060807829E-3</v>
      </c>
      <c r="F46" s="64">
        <f t="shared" si="8"/>
        <v>7.4495266448646263E-2</v>
      </c>
    </row>
    <row r="47" spans="1:6">
      <c r="B47" s="123">
        <v>9</v>
      </c>
      <c r="C47" s="54">
        <f t="shared" si="5"/>
        <v>100</v>
      </c>
      <c r="D47" s="124">
        <f t="shared" si="6"/>
        <v>89.422068773089237</v>
      </c>
      <c r="E47" s="55">
        <f t="shared" si="7"/>
        <v>9.1969464751415139E-3</v>
      </c>
      <c r="F47" s="64">
        <f t="shared" si="8"/>
        <v>8.2772518276273632E-2</v>
      </c>
    </row>
    <row r="48" spans="1:6">
      <c r="B48" s="123">
        <v>10</v>
      </c>
      <c r="C48" s="54">
        <f t="shared" si="5"/>
        <v>100</v>
      </c>
      <c r="D48" s="124">
        <f t="shared" si="6"/>
        <v>88.318092615396765</v>
      </c>
      <c r="E48" s="55">
        <f t="shared" si="7"/>
        <v>9.0834039260656915E-3</v>
      </c>
      <c r="F48" s="64">
        <f t="shared" si="8"/>
        <v>9.0834039260656918E-2</v>
      </c>
    </row>
    <row r="49" spans="2:6">
      <c r="B49" s="123">
        <v>11</v>
      </c>
      <c r="C49" s="54">
        <f>10000*$C$35/4</f>
        <v>100</v>
      </c>
      <c r="D49" s="124">
        <f t="shared" si="6"/>
        <v>87.227745792984479</v>
      </c>
      <c r="E49" s="55">
        <f t="shared" si="7"/>
        <v>8.9712631368550066E-3</v>
      </c>
      <c r="F49" s="64">
        <f t="shared" si="8"/>
        <v>9.8683894505405073E-2</v>
      </c>
    </row>
    <row r="50" spans="2:6">
      <c r="B50" s="126">
        <v>12</v>
      </c>
      <c r="C50" s="61">
        <f>10000*$C$35/4+10000</f>
        <v>10100</v>
      </c>
      <c r="D50" s="127">
        <f t="shared" si="6"/>
        <v>8701.2368642878337</v>
      </c>
      <c r="E50" s="63">
        <f t="shared" si="7"/>
        <v>0.89491118698504257</v>
      </c>
      <c r="F50" s="65">
        <f t="shared" si="8"/>
        <v>10.738934243820511</v>
      </c>
    </row>
    <row r="51" spans="2:6" ht="17.25" thickBot="1">
      <c r="B51" s="57" t="s">
        <v>51</v>
      </c>
      <c r="C51" s="58"/>
      <c r="D51" s="125">
        <f>SUM(D39:D50)</f>
        <v>9723.0172008490772</v>
      </c>
      <c r="E51" s="58"/>
      <c r="F51" s="66">
        <f>SUM(F39:F50)</f>
        <v>11.35641653759966</v>
      </c>
    </row>
    <row r="52" spans="2:6" ht="17.25" thickTop="1">
      <c r="E52" t="s">
        <v>113</v>
      </c>
      <c r="F52" s="128">
        <f>F51/4</f>
        <v>2.839104134399915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6"/>
  <sheetViews>
    <sheetView zoomScale="150" zoomScaleNormal="150" workbookViewId="0">
      <selection activeCell="A8" sqref="A8"/>
    </sheetView>
  </sheetViews>
  <sheetFormatPr defaultRowHeight="16.5"/>
  <cols>
    <col min="2" max="2" width="12.125" customWidth="1"/>
    <col min="3" max="3" width="10.25" customWidth="1"/>
    <col min="4" max="4" width="10.875" customWidth="1"/>
    <col min="8" max="8" width="14.75" customWidth="1"/>
    <col min="9" max="9" width="16.25" customWidth="1"/>
  </cols>
  <sheetData>
    <row r="2" spans="1:9" ht="20.25" customHeight="1">
      <c r="A2" s="7" t="s">
        <v>5</v>
      </c>
      <c r="B2" s="7" t="s">
        <v>7</v>
      </c>
      <c r="C2" s="7" t="s">
        <v>6</v>
      </c>
      <c r="D2" s="7" t="s">
        <v>115</v>
      </c>
      <c r="E2" s="7" t="s">
        <v>8</v>
      </c>
      <c r="F2" s="7" t="s">
        <v>116</v>
      </c>
      <c r="G2" s="7" t="s">
        <v>117</v>
      </c>
      <c r="H2" s="7" t="s">
        <v>118</v>
      </c>
      <c r="I2" s="7" t="s">
        <v>119</v>
      </c>
    </row>
    <row r="3" spans="1:9">
      <c r="A3" s="8" t="s">
        <v>120</v>
      </c>
      <c r="B3" s="9">
        <v>0.3</v>
      </c>
      <c r="C3" s="9">
        <v>0.08</v>
      </c>
      <c r="D3" s="9">
        <v>0.2</v>
      </c>
      <c r="E3" s="10">
        <v>0</v>
      </c>
      <c r="F3" s="134">
        <f>D3*B3</f>
        <v>0.06</v>
      </c>
      <c r="G3" s="135">
        <f>+F3^2</f>
        <v>3.5999999999999999E-3</v>
      </c>
      <c r="H3" s="136">
        <f>2*F3*F4*E3</f>
        <v>0</v>
      </c>
      <c r="I3" s="137">
        <f>G3+G4+H3</f>
        <v>4.3839999999999999E-3</v>
      </c>
    </row>
    <row r="4" spans="1:9">
      <c r="A4" s="11" t="s">
        <v>121</v>
      </c>
      <c r="B4" s="9">
        <f>1-B3</f>
        <v>0.7</v>
      </c>
      <c r="C4" s="9">
        <v>0.04</v>
      </c>
      <c r="D4" s="9">
        <v>0.04</v>
      </c>
      <c r="E4" s="12"/>
      <c r="F4" s="134">
        <f>D4*B4</f>
        <v>2.7999999999999997E-2</v>
      </c>
      <c r="G4" s="135">
        <f>+F4^2</f>
        <v>7.8399999999999987E-4</v>
      </c>
      <c r="H4" s="135"/>
      <c r="I4" s="135"/>
    </row>
    <row r="5" spans="1:9">
      <c r="A5" s="138" t="s">
        <v>26</v>
      </c>
      <c r="B5" s="134"/>
      <c r="C5" s="139">
        <f>C3*B3+C4*B4</f>
        <v>5.1999999999999998E-2</v>
      </c>
      <c r="D5" s="134"/>
      <c r="E5" s="135"/>
      <c r="F5" s="140">
        <f>SUM(F3:F4)</f>
        <v>8.7999999999999995E-2</v>
      </c>
      <c r="G5" s="135"/>
      <c r="H5" s="135"/>
      <c r="I5" s="135"/>
    </row>
    <row r="6" spans="1:9">
      <c r="A6" s="138" t="s">
        <v>14</v>
      </c>
      <c r="B6" s="134"/>
      <c r="C6" s="141"/>
      <c r="D6" s="142">
        <f>SQRT(I3)</f>
        <v>6.6211781428987398E-2</v>
      </c>
      <c r="E6" s="135"/>
      <c r="F6" s="135" t="s">
        <v>122</v>
      </c>
      <c r="G6" s="135"/>
      <c r="H6" s="135"/>
      <c r="I6" s="13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513B-8140-475B-8B09-02014327393B}">
  <dimension ref="B2:N9"/>
  <sheetViews>
    <sheetView workbookViewId="0">
      <selection activeCell="G8" sqref="G8"/>
    </sheetView>
  </sheetViews>
  <sheetFormatPr defaultRowHeight="16.5"/>
  <cols>
    <col min="2" max="2" width="13.625" customWidth="1"/>
    <col min="4" max="5" width="11.375" customWidth="1"/>
    <col min="6" max="6" width="12.875" bestFit="1" customWidth="1"/>
    <col min="7" max="7" width="15.875" customWidth="1"/>
    <col min="9" max="9" width="13" bestFit="1" customWidth="1"/>
    <col min="13" max="13" width="11.625" bestFit="1" customWidth="1"/>
    <col min="14" max="14" width="13.25" customWidth="1"/>
  </cols>
  <sheetData>
    <row r="2" spans="2:14" ht="28.5">
      <c r="B2" s="24" t="s">
        <v>0</v>
      </c>
      <c r="C2" s="24" t="s">
        <v>44</v>
      </c>
      <c r="D2" s="24" t="s">
        <v>38</v>
      </c>
      <c r="E2" s="24" t="s">
        <v>25</v>
      </c>
      <c r="F2" s="24" t="s">
        <v>26</v>
      </c>
      <c r="G2" s="24" t="s">
        <v>14</v>
      </c>
      <c r="H2" s="25"/>
      <c r="I2" s="24" t="s">
        <v>43</v>
      </c>
      <c r="J2" s="27" t="s">
        <v>123</v>
      </c>
      <c r="K2" s="27" t="s">
        <v>124</v>
      </c>
      <c r="L2" s="27" t="s">
        <v>125</v>
      </c>
      <c r="M2" s="27" t="s">
        <v>126</v>
      </c>
      <c r="N2" s="27" t="s">
        <v>127</v>
      </c>
    </row>
    <row r="3" spans="2:14" ht="17.25">
      <c r="B3" s="27" t="s">
        <v>123</v>
      </c>
      <c r="C3" s="28">
        <v>0.2</v>
      </c>
      <c r="D3" s="29">
        <v>0.09</v>
      </c>
      <c r="E3" s="29">
        <v>0.18</v>
      </c>
      <c r="F3" s="30">
        <f>D3*C3</f>
        <v>1.7999999999999999E-2</v>
      </c>
      <c r="G3" s="30">
        <f>+E3*C3</f>
        <v>3.5999999999999997E-2</v>
      </c>
      <c r="H3" s="25"/>
      <c r="I3" s="27" t="s">
        <v>123</v>
      </c>
      <c r="J3" s="143">
        <v>1</v>
      </c>
      <c r="K3" s="143"/>
      <c r="L3" s="143"/>
      <c r="M3" s="143"/>
      <c r="N3" s="143"/>
    </row>
    <row r="4" spans="2:14" ht="17.25">
      <c r="B4" s="27" t="s">
        <v>124</v>
      </c>
      <c r="C4" s="28">
        <v>0.2</v>
      </c>
      <c r="D4" s="29">
        <v>0.08</v>
      </c>
      <c r="E4" s="29">
        <v>0.16</v>
      </c>
      <c r="F4" s="30">
        <f t="shared" ref="F4:F7" si="0">D4*C4</f>
        <v>1.6E-2</v>
      </c>
      <c r="G4" s="30">
        <f t="shared" ref="G4:G7" si="1">+E4*C4</f>
        <v>3.2000000000000001E-2</v>
      </c>
      <c r="H4" s="25"/>
      <c r="I4" s="27" t="s">
        <v>124</v>
      </c>
      <c r="J4" s="143">
        <v>0.25</v>
      </c>
      <c r="K4" s="143">
        <v>1</v>
      </c>
      <c r="L4" s="143"/>
      <c r="M4" s="143"/>
      <c r="N4" s="143"/>
    </row>
    <row r="5" spans="2:14" ht="17.25">
      <c r="B5" s="27" t="s">
        <v>125</v>
      </c>
      <c r="C5" s="28">
        <v>0.2</v>
      </c>
      <c r="D5" s="29">
        <v>8.5000000000000006E-2</v>
      </c>
      <c r="E5" s="29">
        <v>0.17</v>
      </c>
      <c r="F5" s="30">
        <f t="shared" si="0"/>
        <v>1.7000000000000001E-2</v>
      </c>
      <c r="G5" s="30">
        <f t="shared" si="1"/>
        <v>3.4000000000000002E-2</v>
      </c>
      <c r="H5" s="25"/>
      <c r="I5" s="27" t="s">
        <v>125</v>
      </c>
      <c r="J5" s="143">
        <v>0.4</v>
      </c>
      <c r="K5" s="143">
        <v>0.7</v>
      </c>
      <c r="L5" s="143">
        <v>1</v>
      </c>
      <c r="M5" s="143"/>
      <c r="N5" s="143"/>
    </row>
    <row r="6" spans="2:14" ht="17.45" customHeight="1">
      <c r="B6" s="27" t="s">
        <v>126</v>
      </c>
      <c r="C6" s="28">
        <v>0.2</v>
      </c>
      <c r="D6" s="29">
        <v>7.0000000000000007E-2</v>
      </c>
      <c r="E6" s="29">
        <v>0.15</v>
      </c>
      <c r="F6" s="30">
        <f t="shared" si="0"/>
        <v>1.4000000000000002E-2</v>
      </c>
      <c r="G6" s="30">
        <f t="shared" si="1"/>
        <v>0.03</v>
      </c>
      <c r="H6" s="25"/>
      <c r="I6" s="27" t="s">
        <v>126</v>
      </c>
      <c r="J6" s="143">
        <v>0.7</v>
      </c>
      <c r="K6" s="143">
        <v>0.3</v>
      </c>
      <c r="L6" s="143">
        <v>0.4</v>
      </c>
      <c r="M6" s="143">
        <v>1</v>
      </c>
      <c r="N6" s="143"/>
    </row>
    <row r="7" spans="2:14" ht="17.45" customHeight="1">
      <c r="B7" s="27" t="s">
        <v>127</v>
      </c>
      <c r="C7" s="28">
        <v>0.2</v>
      </c>
      <c r="D7" s="29">
        <v>0.1</v>
      </c>
      <c r="E7" s="29">
        <v>0.2</v>
      </c>
      <c r="F7" s="30">
        <f t="shared" si="0"/>
        <v>2.0000000000000004E-2</v>
      </c>
      <c r="G7" s="30">
        <f t="shared" si="1"/>
        <v>4.0000000000000008E-2</v>
      </c>
      <c r="H7" s="25"/>
      <c r="I7" s="27" t="s">
        <v>127</v>
      </c>
      <c r="J7" s="143">
        <v>0.6</v>
      </c>
      <c r="K7" s="143">
        <v>0.5</v>
      </c>
      <c r="L7" s="143">
        <v>0.6</v>
      </c>
      <c r="M7" s="143">
        <v>0.5</v>
      </c>
      <c r="N7" s="143">
        <v>1</v>
      </c>
    </row>
    <row r="8" spans="2:14" ht="17.25">
      <c r="B8" s="27" t="s">
        <v>4</v>
      </c>
      <c r="C8" s="28">
        <f>SUM(C3:C7)</f>
        <v>1</v>
      </c>
      <c r="D8" s="32"/>
      <c r="E8" s="32"/>
      <c r="F8" s="39">
        <f>SUM(F3:F7)</f>
        <v>8.5000000000000006E-2</v>
      </c>
      <c r="G8" s="39">
        <f>SQRT(G3^2+G4^2+G5^2+G6^2+G7^2+2*G3*G4*J4+2*G3*G5*J5+2*G3*G6*J6+2*G4*G5*K5+2*G4*G6*K6+2*G5*G6*L6+2*G7*G3*J7+2*G7*G4*K7+2*G7*G5*L7+2*G7*G6*M7)</f>
        <v>0.13341064425299806</v>
      </c>
      <c r="H8" s="25"/>
      <c r="I8" s="25"/>
      <c r="J8" s="25"/>
      <c r="K8" s="25"/>
      <c r="L8" s="25"/>
      <c r="M8" s="25"/>
      <c r="N8" s="25"/>
    </row>
    <row r="9" spans="2:14" ht="17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6FD2-E49E-400C-9B67-5D1CDDAE9850}">
  <dimension ref="B2:I8"/>
  <sheetViews>
    <sheetView workbookViewId="0">
      <selection activeCell="D13" sqref="D13"/>
    </sheetView>
  </sheetViews>
  <sheetFormatPr defaultRowHeight="16.5"/>
  <cols>
    <col min="2" max="2" width="18.5" customWidth="1"/>
    <col min="3" max="3" width="11.875" customWidth="1"/>
    <col min="4" max="4" width="11.75" customWidth="1"/>
    <col min="5" max="5" width="15.75" customWidth="1"/>
    <col min="6" max="6" width="17.625" customWidth="1"/>
    <col min="7" max="7" width="15.5" customWidth="1"/>
    <col min="8" max="8" width="12.5" bestFit="1" customWidth="1"/>
    <col min="9" max="9" width="17.375" customWidth="1"/>
  </cols>
  <sheetData>
    <row r="2" spans="2:9" ht="21.75" customHeight="1">
      <c r="B2" s="111" t="s">
        <v>15</v>
      </c>
      <c r="C2" s="113" t="s">
        <v>16</v>
      </c>
      <c r="D2" s="114"/>
      <c r="E2" s="115"/>
    </row>
    <row r="3" spans="2:9" ht="21.75">
      <c r="B3" s="112"/>
      <c r="C3" s="2" t="s">
        <v>1</v>
      </c>
      <c r="D3" s="2" t="s">
        <v>13</v>
      </c>
      <c r="E3" s="2" t="s">
        <v>17</v>
      </c>
    </row>
    <row r="4" spans="2:9" ht="65.25">
      <c r="B4" s="2" t="s">
        <v>20</v>
      </c>
      <c r="C4" s="3">
        <v>0.08</v>
      </c>
      <c r="D4" s="3">
        <v>0.03</v>
      </c>
      <c r="E4" s="130" t="s">
        <v>18</v>
      </c>
    </row>
    <row r="5" spans="2:9" ht="43.5">
      <c r="B5" s="2" t="s">
        <v>19</v>
      </c>
      <c r="C5" s="3">
        <v>0.18</v>
      </c>
      <c r="D5" s="3">
        <v>0.01</v>
      </c>
      <c r="E5" s="4">
        <v>0</v>
      </c>
    </row>
    <row r="7" spans="2:9" ht="43.5" customHeight="1">
      <c r="B7" s="116" t="s">
        <v>22</v>
      </c>
      <c r="C7" s="116"/>
      <c r="D7" s="6" t="s">
        <v>23</v>
      </c>
      <c r="E7" s="2" t="s">
        <v>24</v>
      </c>
      <c r="F7" s="1" t="s">
        <v>25</v>
      </c>
      <c r="G7" s="34" t="s">
        <v>48</v>
      </c>
      <c r="H7" s="34" t="s">
        <v>47</v>
      </c>
      <c r="I7" s="34" t="s">
        <v>49</v>
      </c>
    </row>
    <row r="8" spans="2:9" ht="43.5">
      <c r="B8" s="4" t="s">
        <v>21</v>
      </c>
      <c r="C8" s="13">
        <v>4.4999999999999998E-2</v>
      </c>
      <c r="D8" s="5">
        <f>(C8-D4)/(C4-D4)</f>
        <v>0.3</v>
      </c>
      <c r="E8" s="5">
        <f>1-D8</f>
        <v>0.7</v>
      </c>
      <c r="F8" s="33">
        <f>SQRT((D8*C5)^2+(D5*E8)^2+2*D8*C5*E8*D5*E5)</f>
        <v>5.4451813560247926E-2</v>
      </c>
      <c r="G8" s="35">
        <v>0</v>
      </c>
      <c r="H8" s="36">
        <f>(G8-C8)/F8</f>
        <v>-0.82641875555182354</v>
      </c>
      <c r="I8" s="37">
        <f>_xlfn.NORM.S.DIST(H8,TRUE)</f>
        <v>0.20428329383812541</v>
      </c>
    </row>
  </sheetData>
  <mergeCells count="3">
    <mergeCell ref="B2:B3"/>
    <mergeCell ref="C2:E2"/>
    <mergeCell ref="B7:C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01A9-3285-441C-A791-F929A142CEF8}">
  <dimension ref="B2:N12"/>
  <sheetViews>
    <sheetView workbookViewId="0">
      <selection activeCell="I31" sqref="I31"/>
    </sheetView>
  </sheetViews>
  <sheetFormatPr defaultRowHeight="16.5"/>
  <cols>
    <col min="2" max="2" width="13.625" customWidth="1"/>
    <col min="4" max="5" width="11.375" customWidth="1"/>
    <col min="6" max="6" width="12.875" bestFit="1" customWidth="1"/>
    <col min="7" max="7" width="15.875" customWidth="1"/>
    <col min="9" max="9" width="13" bestFit="1" customWidth="1"/>
    <col min="13" max="13" width="11.625" bestFit="1" customWidth="1"/>
    <col min="14" max="14" width="13.25" customWidth="1"/>
  </cols>
  <sheetData>
    <row r="2" spans="2:14" ht="28.5">
      <c r="B2" s="24" t="s">
        <v>0</v>
      </c>
      <c r="C2" s="24" t="s">
        <v>44</v>
      </c>
      <c r="D2" s="24" t="s">
        <v>38</v>
      </c>
      <c r="E2" s="24" t="s">
        <v>25</v>
      </c>
      <c r="F2" s="24" t="s">
        <v>45</v>
      </c>
      <c r="G2" s="24" t="s">
        <v>46</v>
      </c>
      <c r="H2" s="25"/>
      <c r="I2" s="24" t="s">
        <v>43</v>
      </c>
      <c r="J2" s="26" t="s">
        <v>1</v>
      </c>
      <c r="K2" s="26" t="s">
        <v>2</v>
      </c>
      <c r="L2" s="26" t="s">
        <v>11</v>
      </c>
      <c r="M2" s="26" t="s">
        <v>41</v>
      </c>
      <c r="N2" s="26" t="s">
        <v>3</v>
      </c>
    </row>
    <row r="3" spans="2:14" ht="17.25">
      <c r="B3" s="27" t="s">
        <v>1</v>
      </c>
      <c r="C3" s="28">
        <v>0.2</v>
      </c>
      <c r="D3" s="29">
        <v>0.09</v>
      </c>
      <c r="E3" s="29">
        <v>0.18</v>
      </c>
      <c r="F3" s="30">
        <f>D3*C3</f>
        <v>1.7999999999999999E-2</v>
      </c>
      <c r="G3" s="30">
        <f>+E3*C3</f>
        <v>3.5999999999999997E-2</v>
      </c>
      <c r="H3" s="25"/>
      <c r="I3" s="26" t="s">
        <v>1</v>
      </c>
      <c r="J3" s="31">
        <v>1</v>
      </c>
      <c r="K3" s="31"/>
      <c r="L3" s="31"/>
      <c r="M3" s="31"/>
      <c r="N3" s="31"/>
    </row>
    <row r="4" spans="2:14" ht="17.25">
      <c r="B4" s="27" t="s">
        <v>2</v>
      </c>
      <c r="C4" s="28">
        <v>0.3</v>
      </c>
      <c r="D4" s="29">
        <v>2.5000000000000001E-2</v>
      </c>
      <c r="E4" s="29">
        <v>0.01</v>
      </c>
      <c r="F4" s="30">
        <f t="shared" ref="F4:F7" si="0">D4*C4</f>
        <v>7.4999999999999997E-3</v>
      </c>
      <c r="G4" s="30">
        <f t="shared" ref="G4:G7" si="1">+E4*C4</f>
        <v>3.0000000000000001E-3</v>
      </c>
      <c r="H4" s="25"/>
      <c r="I4" s="26" t="s">
        <v>2</v>
      </c>
      <c r="J4" s="31">
        <v>0.1</v>
      </c>
      <c r="K4" s="31">
        <v>1</v>
      </c>
      <c r="L4" s="31"/>
      <c r="M4" s="31"/>
      <c r="N4" s="31"/>
    </row>
    <row r="5" spans="2:14" ht="17.25">
      <c r="B5" s="27" t="s">
        <v>12</v>
      </c>
      <c r="C5" s="28">
        <v>0.2</v>
      </c>
      <c r="D5" s="29">
        <v>0.05</v>
      </c>
      <c r="E5" s="29">
        <v>0.04</v>
      </c>
      <c r="F5" s="30">
        <f t="shared" si="0"/>
        <v>1.0000000000000002E-2</v>
      </c>
      <c r="G5" s="30">
        <f t="shared" si="1"/>
        <v>8.0000000000000002E-3</v>
      </c>
      <c r="H5" s="25"/>
      <c r="I5" s="26" t="s">
        <v>11</v>
      </c>
      <c r="J5" s="31">
        <v>-0.1</v>
      </c>
      <c r="K5" s="31">
        <v>-0.1</v>
      </c>
      <c r="L5" s="31">
        <v>1</v>
      </c>
      <c r="M5" s="31"/>
      <c r="N5" s="31"/>
    </row>
    <row r="6" spans="2:14" ht="17.45" customHeight="1">
      <c r="B6" s="27" t="s">
        <v>42</v>
      </c>
      <c r="C6" s="28">
        <v>0.2</v>
      </c>
      <c r="D6" s="29">
        <v>0.04</v>
      </c>
      <c r="E6" s="29">
        <v>0.03</v>
      </c>
      <c r="F6" s="30">
        <f t="shared" si="0"/>
        <v>8.0000000000000002E-3</v>
      </c>
      <c r="G6" s="30">
        <f t="shared" si="1"/>
        <v>6.0000000000000001E-3</v>
      </c>
      <c r="H6" s="25"/>
      <c r="I6" s="26" t="s">
        <v>41</v>
      </c>
      <c r="J6" s="31">
        <v>-0.1</v>
      </c>
      <c r="K6" s="31">
        <v>-0.1</v>
      </c>
      <c r="L6" s="31">
        <v>0.1</v>
      </c>
      <c r="M6" s="31">
        <v>1</v>
      </c>
      <c r="N6" s="31"/>
    </row>
    <row r="7" spans="2:14" ht="17.45" customHeight="1">
      <c r="B7" s="27" t="s">
        <v>3</v>
      </c>
      <c r="C7" s="28">
        <v>0.1</v>
      </c>
      <c r="D7" s="29">
        <v>0.01</v>
      </c>
      <c r="E7" s="29">
        <v>0</v>
      </c>
      <c r="F7" s="30">
        <f t="shared" si="0"/>
        <v>1E-3</v>
      </c>
      <c r="G7" s="30">
        <f t="shared" si="1"/>
        <v>0</v>
      </c>
      <c r="H7" s="25"/>
      <c r="I7" s="26" t="s">
        <v>3</v>
      </c>
      <c r="J7" s="31">
        <v>0</v>
      </c>
      <c r="K7" s="31">
        <v>0</v>
      </c>
      <c r="L7" s="31">
        <v>0</v>
      </c>
      <c r="M7" s="31">
        <v>0</v>
      </c>
      <c r="N7" s="31">
        <v>1</v>
      </c>
    </row>
    <row r="8" spans="2:14" ht="17.25">
      <c r="B8" s="27" t="s">
        <v>4</v>
      </c>
      <c r="C8" s="28">
        <f>SUM(C3:C7)</f>
        <v>0.99999999999999989</v>
      </c>
      <c r="D8" s="32"/>
      <c r="E8" s="32"/>
      <c r="F8" s="39">
        <f>SUM(F3:F7)</f>
        <v>4.4500000000000005E-2</v>
      </c>
      <c r="G8" s="39">
        <f>SQRT(G3^2+G4^2+G5^2+G6^2+G7^2+2*G3*G4*J4+2*G3*G5*J5+2*G3*G6*J6+2*G4*G5*K5+2*G4*G6*K6+2*G5*G6*L6+2*G7*G3*J7+2*G7*G4*K7+2*G7*G5*L7+2*G7*G6*M7)</f>
        <v>3.6428011200173964E-2</v>
      </c>
      <c r="H8" s="25"/>
      <c r="I8" s="25"/>
      <c r="J8" s="25"/>
      <c r="K8" s="25"/>
      <c r="L8" s="25"/>
      <c r="M8" s="25"/>
      <c r="N8" s="25"/>
    </row>
    <row r="9" spans="2:14" ht="17.2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2:14">
      <c r="F10" t="s">
        <v>48</v>
      </c>
      <c r="G10" s="18">
        <v>0</v>
      </c>
    </row>
    <row r="11" spans="2:14">
      <c r="F11" t="s">
        <v>47</v>
      </c>
      <c r="G11" s="38">
        <f>(G10-F8)/G8</f>
        <v>-1.2215874140224128</v>
      </c>
    </row>
    <row r="12" spans="2:14">
      <c r="F12" t="s">
        <v>49</v>
      </c>
      <c r="G12" s="14">
        <f>_xlfn.NORM.S.DIST(G11,TRUE)</f>
        <v>0.11093184527126547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9010-6EE3-430E-91DB-2BED27EF881D}">
  <dimension ref="B2:G20"/>
  <sheetViews>
    <sheetView topLeftCell="A12" workbookViewId="0">
      <selection activeCell="C17" sqref="C17"/>
    </sheetView>
  </sheetViews>
  <sheetFormatPr defaultRowHeight="16.5"/>
  <cols>
    <col min="2" max="2" width="15.75" customWidth="1"/>
    <col min="3" max="3" width="14" bestFit="1" customWidth="1"/>
    <col min="4" max="5" width="11.375" bestFit="1" customWidth="1"/>
  </cols>
  <sheetData>
    <row r="2" spans="2:7" ht="26.25">
      <c r="B2" s="15" t="s">
        <v>27</v>
      </c>
    </row>
    <row r="14" spans="2:7" ht="37.5">
      <c r="B14" s="16" t="s">
        <v>28</v>
      </c>
      <c r="C14" s="16" t="s">
        <v>29</v>
      </c>
      <c r="D14" s="16" t="s">
        <v>30</v>
      </c>
      <c r="E14" s="16" t="s">
        <v>31</v>
      </c>
      <c r="F14" s="16" t="s">
        <v>32</v>
      </c>
      <c r="G14" s="16" t="s">
        <v>33</v>
      </c>
    </row>
    <row r="15" spans="2:7" ht="37.5">
      <c r="B15" s="17" t="s">
        <v>34</v>
      </c>
      <c r="C15" s="17" t="s">
        <v>35</v>
      </c>
      <c r="D15" s="17">
        <v>6</v>
      </c>
      <c r="E15" s="17" t="s">
        <v>36</v>
      </c>
      <c r="F15" s="17">
        <v>3</v>
      </c>
      <c r="G15" s="17" t="s">
        <v>37</v>
      </c>
    </row>
    <row r="17" spans="2:5" ht="20.25">
      <c r="B17" s="19" t="s">
        <v>39</v>
      </c>
      <c r="C17" s="20">
        <v>4</v>
      </c>
      <c r="D17" s="21"/>
      <c r="E17" s="21"/>
    </row>
    <row r="18" spans="2:5" ht="20.25">
      <c r="B18" s="21" t="s">
        <v>22</v>
      </c>
      <c r="C18" s="21" t="s">
        <v>38</v>
      </c>
      <c r="D18" s="21" t="s">
        <v>25</v>
      </c>
      <c r="E18" s="21" t="s">
        <v>40</v>
      </c>
    </row>
    <row r="19" spans="2:5" ht="20.25">
      <c r="B19" s="21" t="s">
        <v>9</v>
      </c>
      <c r="C19" s="22">
        <v>9.7000000000000003E-2</v>
      </c>
      <c r="D19" s="22">
        <v>0.15</v>
      </c>
      <c r="E19" s="23">
        <f>C19-0.5*$C$17*D19^2</f>
        <v>5.2000000000000005E-2</v>
      </c>
    </row>
    <row r="20" spans="2:5" ht="20.25">
      <c r="B20" s="21" t="s">
        <v>10</v>
      </c>
      <c r="C20" s="22">
        <v>7.0000000000000007E-2</v>
      </c>
      <c r="D20" s="22">
        <v>0.1</v>
      </c>
      <c r="E20" s="23">
        <f>C20-0.5*$C$17*D20^2</f>
        <v>0.05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A0D2-DD99-4351-BEE5-877897F6FC54}">
  <dimension ref="B2:K21"/>
  <sheetViews>
    <sheetView workbookViewId="0">
      <selection activeCell="G28" sqref="G28"/>
    </sheetView>
  </sheetViews>
  <sheetFormatPr defaultRowHeight="16.5"/>
  <cols>
    <col min="2" max="2" width="11.625" customWidth="1"/>
    <col min="3" max="3" width="9.5" bestFit="1" customWidth="1"/>
    <col min="4" max="4" width="15.125" customWidth="1"/>
    <col min="5" max="5" width="14.5" customWidth="1"/>
    <col min="6" max="6" width="14.125" customWidth="1"/>
    <col min="7" max="7" width="14.875" customWidth="1"/>
    <col min="8" max="8" width="16.875" customWidth="1"/>
    <col min="9" max="9" width="10" bestFit="1" customWidth="1"/>
    <col min="10" max="10" width="12.125" bestFit="1" customWidth="1"/>
    <col min="11" max="11" width="10.75" bestFit="1" customWidth="1"/>
  </cols>
  <sheetData>
    <row r="2" spans="2:11" ht="21">
      <c r="B2" s="67" t="s">
        <v>71</v>
      </c>
    </row>
    <row r="3" spans="2:11" ht="17.25" thickBot="1"/>
    <row r="4" spans="2:11" ht="41.25" thickTop="1">
      <c r="B4" s="44" t="s">
        <v>72</v>
      </c>
      <c r="C4" s="45" t="s">
        <v>73</v>
      </c>
      <c r="D4" s="68" t="s">
        <v>74</v>
      </c>
      <c r="H4" s="85" t="s">
        <v>83</v>
      </c>
      <c r="I4" s="85" t="s">
        <v>84</v>
      </c>
      <c r="J4" s="85" t="s">
        <v>85</v>
      </c>
      <c r="K4" s="85" t="s">
        <v>86</v>
      </c>
    </row>
    <row r="5" spans="2:11" ht="23.25">
      <c r="B5" s="46">
        <v>0</v>
      </c>
      <c r="C5" s="47">
        <v>1000</v>
      </c>
      <c r="D5" s="69"/>
      <c r="H5" s="86">
        <v>0</v>
      </c>
      <c r="I5" s="87">
        <v>10000</v>
      </c>
      <c r="J5" s="86"/>
      <c r="K5" s="12"/>
    </row>
    <row r="6" spans="2:11" ht="20.25">
      <c r="B6" s="46">
        <v>1</v>
      </c>
      <c r="C6" s="47">
        <v>1100</v>
      </c>
      <c r="D6" s="70">
        <v>0.1</v>
      </c>
      <c r="H6" s="86">
        <v>1</v>
      </c>
      <c r="I6" s="87">
        <v>11000</v>
      </c>
      <c r="J6" s="86">
        <v>100</v>
      </c>
      <c r="K6" s="88">
        <f>(I6-I5+J6)/I5</f>
        <v>0.11</v>
      </c>
    </row>
    <row r="7" spans="2:11" ht="20.25">
      <c r="B7" s="46">
        <v>2</v>
      </c>
      <c r="C7" s="47">
        <v>1320</v>
      </c>
      <c r="D7" s="70">
        <v>0.2</v>
      </c>
      <c r="H7" s="86">
        <v>2</v>
      </c>
      <c r="I7" s="87">
        <v>12500</v>
      </c>
      <c r="J7" s="86">
        <v>150</v>
      </c>
      <c r="K7" s="88">
        <f>(I7-I6+J7)/I6</f>
        <v>0.15</v>
      </c>
    </row>
    <row r="8" spans="2:11" ht="17.25" thickBot="1">
      <c r="B8" s="48">
        <v>3</v>
      </c>
      <c r="C8" s="71" t="s">
        <v>75</v>
      </c>
      <c r="D8" s="72">
        <v>-0.1</v>
      </c>
    </row>
    <row r="9" spans="2:11" ht="22.5" thickTop="1">
      <c r="J9" s="73" t="s">
        <v>76</v>
      </c>
      <c r="K9" s="84">
        <f>(1+K6)*(1+K7)-1</f>
        <v>0.27649999999999997</v>
      </c>
    </row>
    <row r="10" spans="2:11" ht="21.75">
      <c r="B10" s="73" t="s">
        <v>76</v>
      </c>
      <c r="C10" s="83">
        <f>(1+D6)*(1+D7)*(1+D8)-1</f>
        <v>0.18800000000000017</v>
      </c>
      <c r="J10" s="73" t="s">
        <v>77</v>
      </c>
      <c r="K10" s="90">
        <f>(1+K9)^(1/2)-1</f>
        <v>0.12982299498638272</v>
      </c>
    </row>
    <row r="11" spans="2:11" ht="19.5">
      <c r="B11" s="73" t="s">
        <v>77</v>
      </c>
      <c r="C11" s="89">
        <f>(1+C10)^(1/3)-1</f>
        <v>5.9104500597819021E-2</v>
      </c>
    </row>
    <row r="14" spans="2:11" ht="21">
      <c r="B14" s="67" t="s">
        <v>78</v>
      </c>
    </row>
    <row r="15" spans="2:11" ht="17.25" thickBot="1"/>
    <row r="16" spans="2:11" ht="20.25" thickTop="1">
      <c r="B16" s="44" t="s">
        <v>72</v>
      </c>
      <c r="C16" s="45" t="s">
        <v>73</v>
      </c>
      <c r="D16" s="45" t="s">
        <v>74</v>
      </c>
      <c r="E16" s="45" t="s">
        <v>79</v>
      </c>
      <c r="F16" s="45" t="s">
        <v>80</v>
      </c>
      <c r="G16" s="68" t="s">
        <v>81</v>
      </c>
      <c r="H16" s="80" t="s">
        <v>82</v>
      </c>
    </row>
    <row r="17" spans="2:8" ht="23.25">
      <c r="B17" s="46">
        <v>0</v>
      </c>
      <c r="C17" s="47">
        <v>1000</v>
      </c>
      <c r="D17" s="74"/>
      <c r="E17" s="47">
        <v>10000000</v>
      </c>
      <c r="F17" s="47">
        <v>10000000</v>
      </c>
      <c r="G17" s="75">
        <v>10000000</v>
      </c>
      <c r="H17" s="81">
        <f>-E17</f>
        <v>-10000000</v>
      </c>
    </row>
    <row r="18" spans="2:8" ht="19.5">
      <c r="B18" s="46">
        <v>1</v>
      </c>
      <c r="C18" s="47">
        <v>1100</v>
      </c>
      <c r="D18" s="76">
        <v>0.1</v>
      </c>
      <c r="E18" s="47">
        <v>11000000</v>
      </c>
      <c r="F18" s="47">
        <v>20000000</v>
      </c>
      <c r="G18" s="75">
        <v>22000000</v>
      </c>
      <c r="H18" s="81">
        <f t="shared" ref="H18:H19" si="0">-E18</f>
        <v>-11000000</v>
      </c>
    </row>
    <row r="19" spans="2:8" ht="19.5">
      <c r="B19" s="46">
        <v>2</v>
      </c>
      <c r="C19" s="47">
        <v>1320</v>
      </c>
      <c r="D19" s="76">
        <v>0.2</v>
      </c>
      <c r="E19" s="47">
        <v>132000000</v>
      </c>
      <c r="F19" s="47">
        <v>120000000</v>
      </c>
      <c r="G19" s="75">
        <v>158400000</v>
      </c>
      <c r="H19" s="81">
        <f t="shared" si="0"/>
        <v>-132000000</v>
      </c>
    </row>
    <row r="20" spans="2:8" ht="24" thickBot="1">
      <c r="B20" s="48">
        <v>3</v>
      </c>
      <c r="C20" s="71" t="s">
        <v>75</v>
      </c>
      <c r="D20" s="77">
        <v>-0.1</v>
      </c>
      <c r="E20" s="49"/>
      <c r="F20" s="78">
        <v>120000000</v>
      </c>
      <c r="G20" s="79">
        <v>142560000</v>
      </c>
      <c r="H20" s="81">
        <f>G20</f>
        <v>142560000</v>
      </c>
    </row>
    <row r="21" spans="2:8" ht="20.25" thickTop="1">
      <c r="H21" s="82">
        <f>IRR(H17:H20)</f>
        <v>-5.7464630134328565E-2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D0D6-CF97-4CD2-8BF6-DA0D7ED093AE}">
  <dimension ref="B2:F22"/>
  <sheetViews>
    <sheetView workbookViewId="0">
      <selection activeCell="H14" sqref="H14"/>
    </sheetView>
  </sheetViews>
  <sheetFormatPr defaultRowHeight="16.5"/>
  <cols>
    <col min="2" max="2" width="17.25" customWidth="1"/>
    <col min="3" max="3" width="10.875" customWidth="1"/>
    <col min="5" max="5" width="11.625" bestFit="1" customWidth="1"/>
    <col min="6" max="6" width="9.375" bestFit="1" customWidth="1"/>
  </cols>
  <sheetData>
    <row r="2" spans="2:6" ht="22.5">
      <c r="B2" s="91" t="s">
        <v>87</v>
      </c>
    </row>
    <row r="3" spans="2:6" ht="21" customHeight="1" thickBot="1">
      <c r="B3" s="91"/>
    </row>
    <row r="4" spans="2:6" ht="17.25" thickTop="1">
      <c r="B4" s="117" t="s">
        <v>15</v>
      </c>
      <c r="C4" s="119" t="s">
        <v>88</v>
      </c>
      <c r="D4" s="120"/>
      <c r="E4" s="119" t="s">
        <v>89</v>
      </c>
      <c r="F4" s="121"/>
    </row>
    <row r="5" spans="2:6" ht="20.25" customHeight="1">
      <c r="B5" s="118"/>
      <c r="C5" s="92" t="s">
        <v>7</v>
      </c>
      <c r="D5" s="92" t="s">
        <v>50</v>
      </c>
      <c r="E5" s="92" t="s">
        <v>7</v>
      </c>
      <c r="F5" s="93" t="s">
        <v>50</v>
      </c>
    </row>
    <row r="6" spans="2:6">
      <c r="B6" s="46" t="s">
        <v>1</v>
      </c>
      <c r="C6" s="76">
        <v>0.45</v>
      </c>
      <c r="D6" s="94">
        <v>6.3E-2</v>
      </c>
      <c r="E6" s="76">
        <v>0.3</v>
      </c>
      <c r="F6" s="95">
        <v>0.06</v>
      </c>
    </row>
    <row r="7" spans="2:6">
      <c r="B7" s="46" t="s">
        <v>13</v>
      </c>
      <c r="C7" s="76">
        <v>0.5</v>
      </c>
      <c r="D7" s="94">
        <v>2.9000000000000001E-2</v>
      </c>
      <c r="E7" s="76">
        <v>0.6</v>
      </c>
      <c r="F7" s="95">
        <v>0.03</v>
      </c>
    </row>
    <row r="8" spans="2:6" ht="21" customHeight="1">
      <c r="B8" s="46" t="s">
        <v>90</v>
      </c>
      <c r="C8" s="76">
        <v>0.05</v>
      </c>
      <c r="D8" s="94">
        <v>1.9E-2</v>
      </c>
      <c r="E8" s="76">
        <v>0.1</v>
      </c>
      <c r="F8" s="95">
        <v>1.7000000000000001E-2</v>
      </c>
    </row>
    <row r="9" spans="2:6" ht="17.25" thickBot="1">
      <c r="B9" s="96" t="s">
        <v>51</v>
      </c>
      <c r="C9" s="97">
        <f>SUM(C6:C8)</f>
        <v>1</v>
      </c>
      <c r="D9" s="98">
        <f>SUMPRODUCT(D6:D8,C6:C8)</f>
        <v>4.3799999999999999E-2</v>
      </c>
      <c r="E9" s="97">
        <f>SUM(E6:E8)</f>
        <v>0.99999999999999989</v>
      </c>
      <c r="F9" s="98">
        <f>SUMPRODUCT(F6:F8,E6:E8)</f>
        <v>3.7699999999999997E-2</v>
      </c>
    </row>
    <row r="10" spans="2:6" ht="17.25" thickTop="1"/>
    <row r="11" spans="2:6" ht="21.75" customHeight="1">
      <c r="B11" s="131" t="s">
        <v>114</v>
      </c>
    </row>
    <row r="12" spans="2:6" ht="20.25">
      <c r="B12" s="132" t="s">
        <v>91</v>
      </c>
      <c r="E12" s="99">
        <f>(C6-E6)*(F6-F9)</f>
        <v>3.3450000000000008E-3</v>
      </c>
    </row>
    <row r="13" spans="2:6" ht="20.25">
      <c r="B13" s="132" t="s">
        <v>92</v>
      </c>
      <c r="E13" s="99">
        <f>(C7-E7)*(F7-F9)</f>
        <v>7.6999999999999963E-4</v>
      </c>
    </row>
    <row r="14" spans="2:6" ht="20.25">
      <c r="B14" s="132" t="s">
        <v>93</v>
      </c>
      <c r="E14" s="99">
        <f>(C8-E8)*(F8-F9)</f>
        <v>1.0349999999999999E-3</v>
      </c>
    </row>
    <row r="15" spans="2:6" ht="20.25">
      <c r="B15" s="132" t="s">
        <v>94</v>
      </c>
      <c r="E15" s="99">
        <f>SUM(E12:E14)</f>
        <v>5.1500000000000001E-3</v>
      </c>
    </row>
    <row r="16" spans="2:6" ht="20.25">
      <c r="B16" s="25"/>
      <c r="E16" s="100"/>
    </row>
    <row r="17" spans="2:5" ht="20.25">
      <c r="B17" s="25"/>
      <c r="E17" s="100"/>
    </row>
    <row r="18" spans="2:5" ht="20.25">
      <c r="B18" s="133" t="s">
        <v>95</v>
      </c>
      <c r="E18" s="100"/>
    </row>
    <row r="19" spans="2:5" ht="20.25">
      <c r="B19" s="132" t="s">
        <v>96</v>
      </c>
      <c r="E19" s="99">
        <f>(D6-F6)*C6</f>
        <v>1.3500000000000012E-3</v>
      </c>
    </row>
    <row r="20" spans="2:5" ht="20.25">
      <c r="B20" s="132" t="s">
        <v>97</v>
      </c>
      <c r="E20" s="99">
        <f t="shared" ref="E20:E21" si="0">(D7-F7)*C7</f>
        <v>-4.9999999999999871E-4</v>
      </c>
    </row>
    <row r="21" spans="2:5" ht="20.25">
      <c r="B21" s="132" t="s">
        <v>98</v>
      </c>
      <c r="E21" s="99">
        <f t="shared" si="0"/>
        <v>9.9999999999999923E-5</v>
      </c>
    </row>
    <row r="22" spans="2:5" ht="20.25">
      <c r="B22" s="132" t="s">
        <v>94</v>
      </c>
      <c r="E22" s="99">
        <f>SUM(E19:E21)</f>
        <v>9.5000000000000238E-4</v>
      </c>
    </row>
  </sheetData>
  <mergeCells count="3">
    <mergeCell ref="B4:B5"/>
    <mergeCell ref="C4:D4"/>
    <mergeCell ref="E4:F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FF18-E08B-4C83-A90D-CA184C3EE2CD}">
  <dimension ref="A2:F13"/>
  <sheetViews>
    <sheetView workbookViewId="0">
      <selection activeCell="E15" sqref="E15"/>
    </sheetView>
  </sheetViews>
  <sheetFormatPr defaultRowHeight="16.5"/>
  <cols>
    <col min="1" max="1" width="17.5" customWidth="1"/>
    <col min="2" max="5" width="17.375" customWidth="1"/>
    <col min="6" max="6" width="22.75" customWidth="1"/>
  </cols>
  <sheetData>
    <row r="2" spans="1:6" ht="21">
      <c r="B2" s="67" t="s">
        <v>99</v>
      </c>
    </row>
    <row r="3" spans="1:6" ht="17.25" thickBot="1"/>
    <row r="4" spans="1:6" ht="24" customHeight="1" thickTop="1">
      <c r="B4" s="44" t="s">
        <v>15</v>
      </c>
      <c r="C4" s="101" t="s">
        <v>100</v>
      </c>
      <c r="D4" s="102" t="s">
        <v>19</v>
      </c>
      <c r="E4" s="101" t="s">
        <v>101</v>
      </c>
      <c r="F4" s="103" t="s">
        <v>102</v>
      </c>
    </row>
    <row r="5" spans="1:6" ht="24" customHeight="1">
      <c r="B5" s="46" t="s">
        <v>103</v>
      </c>
      <c r="C5" s="94">
        <v>0.13500000000000001</v>
      </c>
      <c r="D5" s="94">
        <v>0.18</v>
      </c>
      <c r="E5" s="145">
        <v>1.1000000000000001</v>
      </c>
      <c r="F5" s="95">
        <v>0.03</v>
      </c>
    </row>
    <row r="6" spans="1:6" ht="24" customHeight="1">
      <c r="B6" s="46" t="s">
        <v>104</v>
      </c>
      <c r="C6" s="94">
        <v>0.14499999999999999</v>
      </c>
      <c r="D6" s="94">
        <v>0.22</v>
      </c>
      <c r="E6" s="145">
        <v>1.25</v>
      </c>
      <c r="F6" s="95">
        <v>4.4999999999999998E-2</v>
      </c>
    </row>
    <row r="7" spans="1:6" ht="24" customHeight="1">
      <c r="B7" s="46" t="s">
        <v>105</v>
      </c>
      <c r="C7" s="94">
        <v>0.12</v>
      </c>
      <c r="D7" s="94">
        <v>0.16</v>
      </c>
      <c r="E7" s="145">
        <v>1</v>
      </c>
      <c r="F7" s="69"/>
    </row>
    <row r="8" spans="1:6" ht="24" customHeight="1" thickBot="1">
      <c r="B8" s="48" t="s">
        <v>106</v>
      </c>
      <c r="C8" s="104">
        <v>0.02</v>
      </c>
      <c r="D8" s="49"/>
      <c r="E8" s="49"/>
      <c r="F8" s="105"/>
    </row>
    <row r="9" spans="1:6" ht="17.25" thickTop="1"/>
    <row r="10" spans="1:6" ht="18.75">
      <c r="B10" s="144" t="s">
        <v>107</v>
      </c>
      <c r="C10" s="144" t="s">
        <v>108</v>
      </c>
      <c r="D10" s="144" t="s">
        <v>109</v>
      </c>
      <c r="E10" s="144" t="s">
        <v>110</v>
      </c>
    </row>
    <row r="11" spans="1:6" ht="24.75" customHeight="1">
      <c r="A11" s="46" t="s">
        <v>103</v>
      </c>
      <c r="B11" s="106">
        <f>(C5-$C$8)/D5</f>
        <v>0.63888888888888895</v>
      </c>
      <c r="C11" s="107">
        <f>(C5-$C$8)/E5</f>
        <v>0.10454545454545454</v>
      </c>
      <c r="D11" s="108">
        <f>C5-($C$8+E5*($C$7-$C$8))</f>
        <v>5.0000000000000044E-3</v>
      </c>
      <c r="E11" s="109">
        <f>(C5-$C$7)/F5</f>
        <v>0.50000000000000044</v>
      </c>
    </row>
    <row r="12" spans="1:6" ht="24.75" customHeight="1">
      <c r="A12" s="46" t="s">
        <v>104</v>
      </c>
      <c r="B12" s="106">
        <f t="shared" ref="B12:B13" si="0">(C6-$C$8)/D6</f>
        <v>0.56818181818181812</v>
      </c>
      <c r="C12" s="107">
        <f t="shared" ref="C12:C13" si="1">(C6-$C$8)/E6</f>
        <v>9.9999999999999992E-2</v>
      </c>
      <c r="D12" s="108">
        <f>C6-($C$8+E6*($C$7-$C$8))</f>
        <v>0</v>
      </c>
      <c r="E12" s="109">
        <f>(C6-$C$7)/F6</f>
        <v>0.55555555555555547</v>
      </c>
    </row>
    <row r="13" spans="1:6" ht="24.75" customHeight="1">
      <c r="A13" s="46" t="s">
        <v>105</v>
      </c>
      <c r="B13" s="106">
        <f t="shared" si="0"/>
        <v>0.62499999999999989</v>
      </c>
      <c r="C13" s="107">
        <f t="shared" si="1"/>
        <v>9.9999999999999992E-2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CAPM_Duration</vt:lpstr>
      <vt:lpstr>Portfolio_Risk</vt:lpstr>
      <vt:lpstr>Risk Portfolio</vt:lpstr>
      <vt:lpstr>Shortfall</vt:lpstr>
      <vt:lpstr>Portfolio_Case</vt:lpstr>
      <vt:lpstr>Utility</vt:lpstr>
      <vt:lpstr>TWR&amp;MWR</vt:lpstr>
      <vt:lpstr>P_Evaluation</vt:lpstr>
      <vt:lpstr>Risk_Adjust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KORNU-USER</dc:creator>
  <cp:lastModifiedBy>sean</cp:lastModifiedBy>
  <dcterms:created xsi:type="dcterms:W3CDTF">2021-10-27T07:59:50Z</dcterms:created>
  <dcterms:modified xsi:type="dcterms:W3CDTF">2025-05-11T21:10:43Z</dcterms:modified>
</cp:coreProperties>
</file>