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7297EEF-C074-4FE9-B784-611CCDF7F2EE}" xr6:coauthVersionLast="43" xr6:coauthVersionMax="43" xr10:uidLastSave="{00000000-0000-0000-0000-000000000000}"/>
  <bookViews>
    <workbookView xWindow="-28920" yWindow="-4830" windowWidth="29040" windowHeight="15840" tabRatio="751" activeTab="3" xr2:uid="{B91A6025-7B5D-478B-AB71-9726CDBD0D45}"/>
  </bookViews>
  <sheets>
    <sheet name="data sat" sheetId="3" r:id="rId1"/>
    <sheet name="analyse sat" sheetId="4" r:id="rId2"/>
    <sheet name="graphes sat 1" sheetId="6" r:id="rId3"/>
    <sheet name="graphes sat 2" sheetId="14" r:id="rId4"/>
    <sheet name="data opti" sheetId="7" r:id="rId5"/>
    <sheet name="analyse opti" sheetId="8" r:id="rId6"/>
    <sheet name="graphes opti 1" sheetId="9" r:id="rId7"/>
    <sheet name="graphes opti 2" sheetId="1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9" i="4" l="1"/>
  <c r="C79" i="4"/>
  <c r="D79" i="4"/>
  <c r="E79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4" i="4"/>
  <c r="C4" i="4"/>
  <c r="D4" i="4"/>
  <c r="E4" i="4"/>
  <c r="E3" i="4"/>
  <c r="D3" i="4"/>
  <c r="C3" i="4"/>
  <c r="B3" i="4"/>
  <c r="AF62" i="4" l="1"/>
  <c r="AG62" i="4"/>
  <c r="AH62" i="4"/>
  <c r="AI62" i="4"/>
  <c r="AF4" i="4"/>
  <c r="AG4" i="4"/>
  <c r="AH4" i="4"/>
  <c r="AI4" i="4"/>
  <c r="AF5" i="4"/>
  <c r="AG5" i="4"/>
  <c r="AH5" i="4"/>
  <c r="AI5" i="4"/>
  <c r="AF6" i="4"/>
  <c r="AG6" i="4"/>
  <c r="AH6" i="4"/>
  <c r="AI6" i="4"/>
  <c r="AF7" i="4"/>
  <c r="AG7" i="4"/>
  <c r="AH7" i="4"/>
  <c r="AI7" i="4"/>
  <c r="AF8" i="4"/>
  <c r="AG8" i="4"/>
  <c r="AH8" i="4"/>
  <c r="AI8" i="4"/>
  <c r="AF9" i="4"/>
  <c r="AG9" i="4"/>
  <c r="AH9" i="4"/>
  <c r="AI9" i="4"/>
  <c r="AF10" i="4"/>
  <c r="AG10" i="4"/>
  <c r="AH10" i="4"/>
  <c r="AI10" i="4"/>
  <c r="AF11" i="4"/>
  <c r="AG11" i="4"/>
  <c r="AH11" i="4"/>
  <c r="AI11" i="4"/>
  <c r="AF12" i="4"/>
  <c r="AG12" i="4"/>
  <c r="AH12" i="4"/>
  <c r="AI12" i="4"/>
  <c r="AF13" i="4"/>
  <c r="AG13" i="4"/>
  <c r="AH13" i="4"/>
  <c r="AI13" i="4"/>
  <c r="AF14" i="4"/>
  <c r="AG14" i="4"/>
  <c r="AH14" i="4"/>
  <c r="AI14" i="4"/>
  <c r="AF15" i="4"/>
  <c r="AG15" i="4"/>
  <c r="AH15" i="4"/>
  <c r="AI15" i="4"/>
  <c r="AF16" i="4"/>
  <c r="AG16" i="4"/>
  <c r="AH16" i="4"/>
  <c r="AI16" i="4"/>
  <c r="AF17" i="4"/>
  <c r="AG17" i="4"/>
  <c r="AH17" i="4"/>
  <c r="AI17" i="4"/>
  <c r="AF18" i="4"/>
  <c r="AG18" i="4"/>
  <c r="AH18" i="4"/>
  <c r="AI18" i="4"/>
  <c r="AF19" i="4"/>
  <c r="AG19" i="4"/>
  <c r="AH19" i="4"/>
  <c r="AI19" i="4"/>
  <c r="AF20" i="4"/>
  <c r="AG20" i="4"/>
  <c r="AH20" i="4"/>
  <c r="AI20" i="4"/>
  <c r="AF21" i="4"/>
  <c r="AG21" i="4"/>
  <c r="AH21" i="4"/>
  <c r="AI21" i="4"/>
  <c r="AF22" i="4"/>
  <c r="AG22" i="4"/>
  <c r="AH22" i="4"/>
  <c r="AI22" i="4"/>
  <c r="AF23" i="4"/>
  <c r="AG23" i="4"/>
  <c r="AH23" i="4"/>
  <c r="AI23" i="4"/>
  <c r="AF24" i="4"/>
  <c r="AG24" i="4"/>
  <c r="AH24" i="4"/>
  <c r="AI24" i="4"/>
  <c r="AF25" i="4"/>
  <c r="AG25" i="4"/>
  <c r="AH25" i="4"/>
  <c r="AI25" i="4"/>
  <c r="AF26" i="4"/>
  <c r="AG26" i="4"/>
  <c r="AH26" i="4"/>
  <c r="AI26" i="4"/>
  <c r="AF27" i="4"/>
  <c r="AG27" i="4"/>
  <c r="AH27" i="4"/>
  <c r="AI27" i="4"/>
  <c r="AF28" i="4"/>
  <c r="AG28" i="4"/>
  <c r="AH28" i="4"/>
  <c r="AI28" i="4"/>
  <c r="AF29" i="4"/>
  <c r="AG29" i="4"/>
  <c r="AH29" i="4"/>
  <c r="AI29" i="4"/>
  <c r="AF30" i="4"/>
  <c r="AG30" i="4"/>
  <c r="AH30" i="4"/>
  <c r="AI30" i="4"/>
  <c r="AF31" i="4"/>
  <c r="AG31" i="4"/>
  <c r="AH31" i="4"/>
  <c r="AI31" i="4"/>
  <c r="AF32" i="4"/>
  <c r="AG32" i="4"/>
  <c r="AH32" i="4"/>
  <c r="AI32" i="4"/>
  <c r="AF33" i="4"/>
  <c r="AG33" i="4"/>
  <c r="AH33" i="4"/>
  <c r="AI33" i="4"/>
  <c r="AF34" i="4"/>
  <c r="AG34" i="4"/>
  <c r="AH34" i="4"/>
  <c r="AI34" i="4"/>
  <c r="AF35" i="4"/>
  <c r="AG35" i="4"/>
  <c r="AH35" i="4"/>
  <c r="AI35" i="4"/>
  <c r="AF36" i="4"/>
  <c r="AG36" i="4"/>
  <c r="AH36" i="4"/>
  <c r="AI36" i="4"/>
  <c r="AF37" i="4"/>
  <c r="AG37" i="4"/>
  <c r="AH37" i="4"/>
  <c r="AI37" i="4"/>
  <c r="AF38" i="4"/>
  <c r="AG38" i="4"/>
  <c r="AH38" i="4"/>
  <c r="AI38" i="4"/>
  <c r="AF39" i="4"/>
  <c r="AG39" i="4"/>
  <c r="AH39" i="4"/>
  <c r="AI39" i="4"/>
  <c r="AF40" i="4"/>
  <c r="AG40" i="4"/>
  <c r="AH40" i="4"/>
  <c r="AI40" i="4"/>
  <c r="AF41" i="4"/>
  <c r="AG41" i="4"/>
  <c r="AH41" i="4"/>
  <c r="AI41" i="4"/>
  <c r="AF42" i="4"/>
  <c r="AG42" i="4"/>
  <c r="AH42" i="4"/>
  <c r="AI42" i="4"/>
  <c r="AF43" i="4"/>
  <c r="AG43" i="4"/>
  <c r="AH43" i="4"/>
  <c r="AI43" i="4"/>
  <c r="AF44" i="4"/>
  <c r="AG44" i="4"/>
  <c r="AH44" i="4"/>
  <c r="AI44" i="4"/>
  <c r="AF45" i="4"/>
  <c r="AG45" i="4"/>
  <c r="AH45" i="4"/>
  <c r="AI45" i="4"/>
  <c r="AF46" i="4"/>
  <c r="AG46" i="4"/>
  <c r="AH46" i="4"/>
  <c r="AI46" i="4"/>
  <c r="AF47" i="4"/>
  <c r="AG47" i="4"/>
  <c r="AH47" i="4"/>
  <c r="AI47" i="4"/>
  <c r="AF48" i="4"/>
  <c r="AG48" i="4"/>
  <c r="AH48" i="4"/>
  <c r="AI48" i="4"/>
  <c r="AF49" i="4"/>
  <c r="AG49" i="4"/>
  <c r="AH49" i="4"/>
  <c r="AI49" i="4"/>
  <c r="AF50" i="4"/>
  <c r="AG50" i="4"/>
  <c r="AH50" i="4"/>
  <c r="AI50" i="4"/>
  <c r="AF51" i="4"/>
  <c r="AG51" i="4"/>
  <c r="AH51" i="4"/>
  <c r="AI51" i="4"/>
  <c r="AF52" i="4"/>
  <c r="AG52" i="4"/>
  <c r="AH52" i="4"/>
  <c r="AI52" i="4"/>
  <c r="AF53" i="4"/>
  <c r="AG53" i="4"/>
  <c r="AH53" i="4"/>
  <c r="AI53" i="4"/>
  <c r="AF54" i="4"/>
  <c r="AG54" i="4"/>
  <c r="AH54" i="4"/>
  <c r="AI54" i="4"/>
  <c r="AF55" i="4"/>
  <c r="AG55" i="4"/>
  <c r="AH55" i="4"/>
  <c r="AI55" i="4"/>
  <c r="AF56" i="4"/>
  <c r="AG56" i="4"/>
  <c r="AH56" i="4"/>
  <c r="AI56" i="4"/>
  <c r="AF57" i="4"/>
  <c r="AG57" i="4"/>
  <c r="AH57" i="4"/>
  <c r="AI57" i="4"/>
  <c r="AF58" i="4"/>
  <c r="AG58" i="4"/>
  <c r="AH58" i="4"/>
  <c r="AI58" i="4"/>
  <c r="AF59" i="4"/>
  <c r="AG59" i="4"/>
  <c r="AH59" i="4"/>
  <c r="AI59" i="4"/>
  <c r="AF60" i="4"/>
  <c r="AG60" i="4"/>
  <c r="AH60" i="4"/>
  <c r="AI60" i="4"/>
  <c r="AF61" i="4"/>
  <c r="AG61" i="4"/>
  <c r="AH61" i="4"/>
  <c r="AI61" i="4"/>
  <c r="AI3" i="4"/>
  <c r="AH3" i="4"/>
  <c r="W33" i="8"/>
  <c r="X33" i="8"/>
  <c r="W4" i="8"/>
  <c r="X4" i="8"/>
  <c r="W5" i="8"/>
  <c r="X5" i="8"/>
  <c r="W6" i="8"/>
  <c r="X6" i="8"/>
  <c r="W7" i="8"/>
  <c r="X7" i="8"/>
  <c r="W8" i="8"/>
  <c r="X8" i="8"/>
  <c r="W9" i="8"/>
  <c r="X9" i="8"/>
  <c r="W10" i="8"/>
  <c r="X10" i="8"/>
  <c r="W11" i="8"/>
  <c r="X11" i="8"/>
  <c r="W12" i="8"/>
  <c r="X12" i="8"/>
  <c r="W13" i="8"/>
  <c r="X13" i="8"/>
  <c r="W14" i="8"/>
  <c r="X14" i="8"/>
  <c r="W15" i="8"/>
  <c r="X15" i="8"/>
  <c r="W16" i="8"/>
  <c r="X16" i="8"/>
  <c r="W17" i="8"/>
  <c r="X17" i="8"/>
  <c r="W18" i="8"/>
  <c r="X18" i="8"/>
  <c r="W19" i="8"/>
  <c r="X19" i="8"/>
  <c r="W20" i="8"/>
  <c r="X20" i="8"/>
  <c r="W21" i="8"/>
  <c r="X21" i="8"/>
  <c r="W22" i="8"/>
  <c r="X22" i="8"/>
  <c r="W23" i="8"/>
  <c r="X23" i="8"/>
  <c r="W24" i="8"/>
  <c r="X24" i="8"/>
  <c r="W25" i="8"/>
  <c r="X25" i="8"/>
  <c r="W26" i="8"/>
  <c r="X26" i="8"/>
  <c r="W27" i="8"/>
  <c r="X27" i="8"/>
  <c r="W28" i="8"/>
  <c r="X28" i="8"/>
  <c r="W29" i="8"/>
  <c r="X29" i="8"/>
  <c r="W30" i="8"/>
  <c r="X30" i="8"/>
  <c r="W31" i="8"/>
  <c r="X31" i="8"/>
  <c r="W32" i="8"/>
  <c r="X32" i="8"/>
  <c r="X3" i="8"/>
  <c r="W3" i="8"/>
  <c r="Q61" i="3"/>
  <c r="Q62" i="3"/>
  <c r="Q44" i="3"/>
  <c r="Q45" i="3"/>
  <c r="Q28" i="3"/>
  <c r="Q29" i="3"/>
  <c r="Q30" i="3"/>
  <c r="Q7" i="3"/>
  <c r="Q32" i="3"/>
  <c r="Q33" i="3"/>
  <c r="Q34" i="3"/>
  <c r="Q60" i="3"/>
  <c r="Q59" i="3"/>
  <c r="Q57" i="3"/>
  <c r="Q50" i="3"/>
  <c r="Q58" i="3"/>
  <c r="Q54" i="3"/>
  <c r="Q52" i="3"/>
  <c r="Q56" i="3"/>
  <c r="Q55" i="3"/>
  <c r="Q46" i="3"/>
  <c r="Q47" i="3"/>
  <c r="Q51" i="3"/>
  <c r="Q49" i="3"/>
  <c r="Q27" i="3"/>
  <c r="Q40" i="3"/>
  <c r="Q41" i="3"/>
  <c r="Q48" i="3"/>
  <c r="Q38" i="3"/>
  <c r="Q24" i="3"/>
  <c r="Q14" i="3"/>
  <c r="Q39" i="3"/>
  <c r="Q42" i="3"/>
  <c r="Q9" i="3"/>
  <c r="Q22" i="3"/>
  <c r="Q43" i="3"/>
  <c r="Q18" i="3"/>
  <c r="Q25" i="3"/>
  <c r="Q23" i="3"/>
  <c r="Q11" i="3"/>
  <c r="Q10" i="3"/>
  <c r="Q21" i="3"/>
  <c r="Q15" i="3"/>
  <c r="Q37" i="3"/>
  <c r="Q17" i="3"/>
  <c r="Q13" i="3"/>
  <c r="Q19" i="3"/>
  <c r="Q53" i="3"/>
  <c r="Q20" i="3"/>
  <c r="Q26" i="3"/>
  <c r="Q31" i="3"/>
  <c r="Q36" i="3"/>
  <c r="Q35" i="3"/>
  <c r="Q16" i="3"/>
  <c r="Q12" i="3"/>
  <c r="Q6" i="3"/>
  <c r="Q5" i="3"/>
  <c r="Q8" i="3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I4" i="8" l="1"/>
  <c r="J4" i="8"/>
  <c r="K4" i="8"/>
  <c r="L4" i="8"/>
  <c r="M4" i="8"/>
  <c r="N4" i="8"/>
  <c r="O4" i="8"/>
  <c r="P4" i="8"/>
  <c r="I5" i="8"/>
  <c r="J5" i="8"/>
  <c r="K5" i="8"/>
  <c r="L5" i="8"/>
  <c r="M5" i="8"/>
  <c r="N5" i="8"/>
  <c r="O5" i="8"/>
  <c r="P5" i="8"/>
  <c r="I6" i="8"/>
  <c r="J6" i="8"/>
  <c r="K6" i="8"/>
  <c r="L6" i="8"/>
  <c r="M6" i="8"/>
  <c r="N6" i="8"/>
  <c r="O6" i="8"/>
  <c r="P6" i="8"/>
  <c r="I7" i="8"/>
  <c r="J7" i="8"/>
  <c r="K7" i="8"/>
  <c r="L7" i="8"/>
  <c r="M7" i="8"/>
  <c r="N7" i="8"/>
  <c r="O7" i="8"/>
  <c r="P7" i="8"/>
  <c r="I8" i="8"/>
  <c r="J8" i="8"/>
  <c r="K8" i="8"/>
  <c r="L8" i="8"/>
  <c r="M8" i="8"/>
  <c r="N8" i="8"/>
  <c r="O8" i="8"/>
  <c r="P8" i="8"/>
  <c r="I9" i="8"/>
  <c r="J9" i="8"/>
  <c r="K9" i="8"/>
  <c r="L9" i="8"/>
  <c r="M9" i="8"/>
  <c r="N9" i="8"/>
  <c r="O9" i="8"/>
  <c r="P9" i="8"/>
  <c r="I10" i="8"/>
  <c r="J10" i="8"/>
  <c r="K10" i="8"/>
  <c r="L10" i="8"/>
  <c r="M10" i="8"/>
  <c r="N10" i="8"/>
  <c r="O10" i="8"/>
  <c r="P10" i="8"/>
  <c r="I11" i="8"/>
  <c r="J11" i="8"/>
  <c r="K11" i="8"/>
  <c r="L11" i="8"/>
  <c r="M11" i="8"/>
  <c r="N11" i="8"/>
  <c r="O11" i="8"/>
  <c r="P11" i="8"/>
  <c r="I12" i="8"/>
  <c r="J12" i="8"/>
  <c r="K12" i="8"/>
  <c r="L12" i="8"/>
  <c r="M12" i="8"/>
  <c r="N12" i="8"/>
  <c r="O12" i="8"/>
  <c r="P12" i="8"/>
  <c r="I13" i="8"/>
  <c r="J13" i="8"/>
  <c r="K13" i="8"/>
  <c r="L13" i="8"/>
  <c r="M13" i="8"/>
  <c r="N13" i="8"/>
  <c r="O13" i="8"/>
  <c r="P13" i="8"/>
  <c r="I14" i="8"/>
  <c r="J14" i="8"/>
  <c r="K14" i="8"/>
  <c r="L14" i="8"/>
  <c r="M14" i="8"/>
  <c r="N14" i="8"/>
  <c r="O14" i="8"/>
  <c r="P14" i="8"/>
  <c r="I15" i="8"/>
  <c r="J15" i="8"/>
  <c r="K15" i="8"/>
  <c r="L15" i="8"/>
  <c r="M15" i="8"/>
  <c r="N15" i="8"/>
  <c r="O15" i="8"/>
  <c r="P15" i="8"/>
  <c r="I16" i="8"/>
  <c r="J16" i="8"/>
  <c r="K16" i="8"/>
  <c r="L16" i="8"/>
  <c r="M16" i="8"/>
  <c r="N16" i="8"/>
  <c r="O16" i="8"/>
  <c r="P16" i="8"/>
  <c r="I17" i="8"/>
  <c r="J17" i="8"/>
  <c r="K17" i="8"/>
  <c r="L17" i="8"/>
  <c r="M17" i="8"/>
  <c r="N17" i="8"/>
  <c r="O17" i="8"/>
  <c r="P17" i="8"/>
  <c r="I18" i="8"/>
  <c r="J18" i="8"/>
  <c r="K18" i="8"/>
  <c r="L18" i="8"/>
  <c r="M18" i="8"/>
  <c r="N18" i="8"/>
  <c r="O18" i="8"/>
  <c r="P18" i="8"/>
  <c r="I19" i="8"/>
  <c r="J19" i="8"/>
  <c r="K19" i="8"/>
  <c r="L19" i="8"/>
  <c r="M19" i="8"/>
  <c r="N19" i="8"/>
  <c r="O19" i="8"/>
  <c r="P19" i="8"/>
  <c r="I20" i="8"/>
  <c r="J20" i="8"/>
  <c r="K20" i="8"/>
  <c r="L20" i="8"/>
  <c r="M20" i="8"/>
  <c r="N20" i="8"/>
  <c r="O20" i="8"/>
  <c r="P20" i="8"/>
  <c r="I21" i="8"/>
  <c r="J21" i="8"/>
  <c r="K21" i="8"/>
  <c r="L21" i="8"/>
  <c r="M21" i="8"/>
  <c r="N21" i="8"/>
  <c r="O21" i="8"/>
  <c r="P21" i="8"/>
  <c r="I22" i="8"/>
  <c r="J22" i="8"/>
  <c r="K22" i="8"/>
  <c r="L22" i="8"/>
  <c r="M22" i="8"/>
  <c r="N22" i="8"/>
  <c r="O22" i="8"/>
  <c r="P22" i="8"/>
  <c r="I23" i="8"/>
  <c r="J23" i="8"/>
  <c r="K23" i="8"/>
  <c r="L23" i="8"/>
  <c r="M23" i="8"/>
  <c r="N23" i="8"/>
  <c r="O23" i="8"/>
  <c r="P23" i="8"/>
  <c r="I24" i="8"/>
  <c r="J24" i="8"/>
  <c r="K24" i="8"/>
  <c r="L24" i="8"/>
  <c r="M24" i="8"/>
  <c r="N24" i="8"/>
  <c r="O24" i="8"/>
  <c r="P24" i="8"/>
  <c r="I25" i="8"/>
  <c r="J25" i="8"/>
  <c r="K25" i="8"/>
  <c r="L25" i="8"/>
  <c r="M25" i="8"/>
  <c r="N25" i="8"/>
  <c r="O25" i="8"/>
  <c r="P25" i="8"/>
  <c r="I26" i="8"/>
  <c r="J26" i="8"/>
  <c r="K26" i="8"/>
  <c r="L26" i="8"/>
  <c r="M26" i="8"/>
  <c r="N26" i="8"/>
  <c r="O26" i="8"/>
  <c r="P26" i="8"/>
  <c r="I27" i="8"/>
  <c r="J27" i="8"/>
  <c r="K27" i="8"/>
  <c r="L27" i="8"/>
  <c r="M27" i="8"/>
  <c r="N27" i="8"/>
  <c r="O27" i="8"/>
  <c r="P27" i="8"/>
  <c r="I28" i="8"/>
  <c r="J28" i="8"/>
  <c r="K28" i="8"/>
  <c r="L28" i="8"/>
  <c r="M28" i="8"/>
  <c r="N28" i="8"/>
  <c r="O28" i="8"/>
  <c r="P28" i="8"/>
  <c r="I29" i="8"/>
  <c r="J29" i="8"/>
  <c r="K29" i="8"/>
  <c r="L29" i="8"/>
  <c r="M29" i="8"/>
  <c r="N29" i="8"/>
  <c r="O29" i="8"/>
  <c r="P29" i="8"/>
  <c r="I30" i="8"/>
  <c r="J30" i="8"/>
  <c r="K30" i="8"/>
  <c r="L30" i="8"/>
  <c r="M30" i="8"/>
  <c r="N30" i="8"/>
  <c r="O30" i="8"/>
  <c r="P30" i="8"/>
  <c r="I31" i="8"/>
  <c r="J31" i="8"/>
  <c r="K31" i="8"/>
  <c r="L31" i="8"/>
  <c r="M31" i="8"/>
  <c r="N31" i="8"/>
  <c r="O31" i="8"/>
  <c r="P31" i="8"/>
  <c r="I32" i="8"/>
  <c r="J32" i="8"/>
  <c r="K32" i="8"/>
  <c r="L32" i="8"/>
  <c r="M32" i="8"/>
  <c r="N32" i="8"/>
  <c r="O32" i="8"/>
  <c r="P32" i="8"/>
  <c r="I33" i="8"/>
  <c r="J33" i="8"/>
  <c r="K33" i="8"/>
  <c r="L33" i="8"/>
  <c r="M33" i="8"/>
  <c r="N33" i="8"/>
  <c r="O33" i="8"/>
  <c r="P33" i="8"/>
  <c r="I34" i="8"/>
  <c r="J34" i="8"/>
  <c r="K34" i="8"/>
  <c r="L34" i="8"/>
  <c r="M34" i="8"/>
  <c r="N34" i="8"/>
  <c r="O34" i="8"/>
  <c r="P34" i="8"/>
  <c r="I35" i="8"/>
  <c r="J35" i="8"/>
  <c r="K35" i="8"/>
  <c r="L35" i="8"/>
  <c r="M35" i="8"/>
  <c r="N35" i="8"/>
  <c r="O35" i="8"/>
  <c r="P35" i="8"/>
  <c r="I36" i="8"/>
  <c r="J36" i="8"/>
  <c r="K36" i="8"/>
  <c r="L36" i="8"/>
  <c r="M36" i="8"/>
  <c r="N36" i="8"/>
  <c r="O36" i="8"/>
  <c r="P36" i="8"/>
  <c r="I37" i="8"/>
  <c r="J37" i="8"/>
  <c r="K37" i="8"/>
  <c r="L37" i="8"/>
  <c r="M37" i="8"/>
  <c r="N37" i="8"/>
  <c r="O37" i="8"/>
  <c r="P37" i="8"/>
  <c r="I38" i="8"/>
  <c r="J38" i="8"/>
  <c r="K38" i="8"/>
  <c r="L38" i="8"/>
  <c r="M38" i="8"/>
  <c r="N38" i="8"/>
  <c r="O38" i="8"/>
  <c r="P38" i="8"/>
  <c r="I39" i="8"/>
  <c r="J39" i="8"/>
  <c r="K39" i="8"/>
  <c r="L39" i="8"/>
  <c r="M39" i="8"/>
  <c r="N39" i="8"/>
  <c r="O39" i="8"/>
  <c r="P39" i="8"/>
  <c r="I40" i="8"/>
  <c r="J40" i="8"/>
  <c r="K40" i="8"/>
  <c r="L40" i="8"/>
  <c r="M40" i="8"/>
  <c r="N40" i="8"/>
  <c r="O40" i="8"/>
  <c r="P40" i="8"/>
  <c r="I41" i="8"/>
  <c r="J41" i="8"/>
  <c r="K41" i="8"/>
  <c r="L41" i="8"/>
  <c r="M41" i="8"/>
  <c r="N41" i="8"/>
  <c r="O41" i="8"/>
  <c r="P41" i="8"/>
  <c r="I42" i="8"/>
  <c r="J42" i="8"/>
  <c r="K42" i="8"/>
  <c r="L42" i="8"/>
  <c r="M42" i="8"/>
  <c r="N42" i="8"/>
  <c r="O42" i="8"/>
  <c r="P42" i="8"/>
  <c r="I43" i="8"/>
  <c r="J43" i="8"/>
  <c r="K43" i="8"/>
  <c r="L43" i="8"/>
  <c r="M43" i="8"/>
  <c r="N43" i="8"/>
  <c r="O43" i="8"/>
  <c r="P43" i="8"/>
  <c r="I44" i="8"/>
  <c r="J44" i="8"/>
  <c r="K44" i="8"/>
  <c r="L44" i="8"/>
  <c r="M44" i="8"/>
  <c r="N44" i="8"/>
  <c r="O44" i="8"/>
  <c r="P44" i="8"/>
  <c r="I45" i="8"/>
  <c r="J45" i="8"/>
  <c r="K45" i="8"/>
  <c r="L45" i="8"/>
  <c r="M45" i="8"/>
  <c r="N45" i="8"/>
  <c r="O45" i="8"/>
  <c r="P45" i="8"/>
  <c r="I46" i="8"/>
  <c r="J46" i="8"/>
  <c r="K46" i="8"/>
  <c r="L46" i="8"/>
  <c r="M46" i="8"/>
  <c r="N46" i="8"/>
  <c r="O46" i="8"/>
  <c r="P46" i="8"/>
  <c r="I47" i="8"/>
  <c r="J47" i="8"/>
  <c r="K47" i="8"/>
  <c r="L47" i="8"/>
  <c r="M47" i="8"/>
  <c r="N47" i="8"/>
  <c r="O47" i="8"/>
  <c r="P47" i="8"/>
  <c r="I48" i="8"/>
  <c r="J48" i="8"/>
  <c r="K48" i="8"/>
  <c r="L48" i="8"/>
  <c r="M48" i="8"/>
  <c r="N48" i="8"/>
  <c r="O48" i="8"/>
  <c r="P48" i="8"/>
  <c r="I49" i="8"/>
  <c r="J49" i="8"/>
  <c r="K49" i="8"/>
  <c r="L49" i="8"/>
  <c r="M49" i="8"/>
  <c r="N49" i="8"/>
  <c r="O49" i="8"/>
  <c r="P49" i="8"/>
  <c r="I50" i="8"/>
  <c r="J50" i="8"/>
  <c r="K50" i="8"/>
  <c r="L50" i="8"/>
  <c r="M50" i="8"/>
  <c r="N50" i="8"/>
  <c r="O50" i="8"/>
  <c r="P50" i="8"/>
  <c r="I51" i="8"/>
  <c r="J51" i="8"/>
  <c r="K51" i="8"/>
  <c r="L51" i="8"/>
  <c r="M51" i="8"/>
  <c r="N51" i="8"/>
  <c r="O51" i="8"/>
  <c r="P51" i="8"/>
  <c r="I52" i="8"/>
  <c r="J52" i="8"/>
  <c r="K52" i="8"/>
  <c r="L52" i="8"/>
  <c r="M52" i="8"/>
  <c r="N52" i="8"/>
  <c r="O52" i="8"/>
  <c r="P52" i="8"/>
  <c r="I53" i="8"/>
  <c r="J53" i="8"/>
  <c r="K53" i="8"/>
  <c r="L53" i="8"/>
  <c r="M53" i="8"/>
  <c r="N53" i="8"/>
  <c r="O53" i="8"/>
  <c r="P53" i="8"/>
  <c r="I54" i="8"/>
  <c r="J54" i="8"/>
  <c r="K54" i="8"/>
  <c r="L54" i="8"/>
  <c r="M54" i="8"/>
  <c r="N54" i="8"/>
  <c r="O54" i="8"/>
  <c r="P54" i="8"/>
  <c r="I55" i="8"/>
  <c r="J55" i="8"/>
  <c r="K55" i="8"/>
  <c r="L55" i="8"/>
  <c r="M55" i="8"/>
  <c r="N55" i="8"/>
  <c r="O55" i="8"/>
  <c r="P55" i="8"/>
  <c r="I56" i="8"/>
  <c r="J56" i="8"/>
  <c r="K56" i="8"/>
  <c r="L56" i="8"/>
  <c r="M56" i="8"/>
  <c r="N56" i="8"/>
  <c r="O56" i="8"/>
  <c r="P56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I59" i="8"/>
  <c r="J59" i="8"/>
  <c r="K59" i="8"/>
  <c r="L59" i="8"/>
  <c r="M59" i="8"/>
  <c r="N59" i="8"/>
  <c r="O59" i="8"/>
  <c r="P59" i="8"/>
  <c r="I60" i="8"/>
  <c r="J60" i="8"/>
  <c r="K60" i="8"/>
  <c r="L60" i="8"/>
  <c r="M60" i="8"/>
  <c r="N60" i="8"/>
  <c r="O60" i="8"/>
  <c r="P60" i="8"/>
  <c r="O3" i="8"/>
  <c r="K3" i="8"/>
  <c r="Z4" i="4"/>
  <c r="AA4" i="4"/>
  <c r="AB4" i="4"/>
  <c r="AC4" i="4"/>
  <c r="Z5" i="4"/>
  <c r="AA5" i="4"/>
  <c r="AB5" i="4"/>
  <c r="AC5" i="4"/>
  <c r="Z6" i="4"/>
  <c r="AA6" i="4"/>
  <c r="AB6" i="4"/>
  <c r="AC6" i="4"/>
  <c r="Z7" i="4"/>
  <c r="AA7" i="4"/>
  <c r="AB7" i="4"/>
  <c r="AC7" i="4"/>
  <c r="Z8" i="4"/>
  <c r="AA8" i="4"/>
  <c r="AB8" i="4"/>
  <c r="AC8" i="4"/>
  <c r="Z9" i="4"/>
  <c r="AA9" i="4"/>
  <c r="AB9" i="4"/>
  <c r="AC9" i="4"/>
  <c r="Z10" i="4"/>
  <c r="AA10" i="4"/>
  <c r="AB10" i="4"/>
  <c r="AC10" i="4"/>
  <c r="Z11" i="4"/>
  <c r="AA11" i="4"/>
  <c r="AB11" i="4"/>
  <c r="AC11" i="4"/>
  <c r="Z12" i="4"/>
  <c r="AA12" i="4"/>
  <c r="AB12" i="4"/>
  <c r="AC12" i="4"/>
  <c r="Z13" i="4"/>
  <c r="AA13" i="4"/>
  <c r="AB13" i="4"/>
  <c r="AC13" i="4"/>
  <c r="Z14" i="4"/>
  <c r="AA14" i="4"/>
  <c r="AB14" i="4"/>
  <c r="AC14" i="4"/>
  <c r="Z15" i="4"/>
  <c r="AA15" i="4"/>
  <c r="AB15" i="4"/>
  <c r="AC15" i="4"/>
  <c r="Z16" i="4"/>
  <c r="AA16" i="4"/>
  <c r="AB16" i="4"/>
  <c r="AC16" i="4"/>
  <c r="Z17" i="4"/>
  <c r="AA17" i="4"/>
  <c r="AB17" i="4"/>
  <c r="AC17" i="4"/>
  <c r="Z18" i="4"/>
  <c r="AA18" i="4"/>
  <c r="AB18" i="4"/>
  <c r="AC18" i="4"/>
  <c r="Z19" i="4"/>
  <c r="AA19" i="4"/>
  <c r="AB19" i="4"/>
  <c r="AC19" i="4"/>
  <c r="Z20" i="4"/>
  <c r="AA20" i="4"/>
  <c r="AB20" i="4"/>
  <c r="AC20" i="4"/>
  <c r="Z21" i="4"/>
  <c r="AA21" i="4"/>
  <c r="AB21" i="4"/>
  <c r="AC21" i="4"/>
  <c r="Z22" i="4"/>
  <c r="AA22" i="4"/>
  <c r="AB22" i="4"/>
  <c r="AC22" i="4"/>
  <c r="Z23" i="4"/>
  <c r="AA23" i="4"/>
  <c r="AB23" i="4"/>
  <c r="AC23" i="4"/>
  <c r="Z24" i="4"/>
  <c r="AA24" i="4"/>
  <c r="AB24" i="4"/>
  <c r="AC24" i="4"/>
  <c r="Z25" i="4"/>
  <c r="AA25" i="4"/>
  <c r="AB25" i="4"/>
  <c r="AC25" i="4"/>
  <c r="Z26" i="4"/>
  <c r="AA26" i="4"/>
  <c r="AB26" i="4"/>
  <c r="AC26" i="4"/>
  <c r="Z27" i="4"/>
  <c r="AA27" i="4"/>
  <c r="AB27" i="4"/>
  <c r="AC27" i="4"/>
  <c r="Z28" i="4"/>
  <c r="AA28" i="4"/>
  <c r="AB28" i="4"/>
  <c r="AC28" i="4"/>
  <c r="Z29" i="4"/>
  <c r="AA29" i="4"/>
  <c r="AB29" i="4"/>
  <c r="AC29" i="4"/>
  <c r="Z30" i="4"/>
  <c r="AA30" i="4"/>
  <c r="AB30" i="4"/>
  <c r="AC30" i="4"/>
  <c r="Z31" i="4"/>
  <c r="AA31" i="4"/>
  <c r="AB31" i="4"/>
  <c r="AC31" i="4"/>
  <c r="Z32" i="4"/>
  <c r="AA32" i="4"/>
  <c r="AB32" i="4"/>
  <c r="AC32" i="4"/>
  <c r="Z33" i="4"/>
  <c r="AA33" i="4"/>
  <c r="AB33" i="4"/>
  <c r="AC33" i="4"/>
  <c r="Z34" i="4"/>
  <c r="AA34" i="4"/>
  <c r="AB34" i="4"/>
  <c r="AC34" i="4"/>
  <c r="Z35" i="4"/>
  <c r="AA35" i="4"/>
  <c r="AB35" i="4"/>
  <c r="AC35" i="4"/>
  <c r="Z36" i="4"/>
  <c r="AA36" i="4"/>
  <c r="AB36" i="4"/>
  <c r="AC36" i="4"/>
  <c r="Z37" i="4"/>
  <c r="AA37" i="4"/>
  <c r="AB37" i="4"/>
  <c r="AC37" i="4"/>
  <c r="Z38" i="4"/>
  <c r="AA38" i="4"/>
  <c r="AB38" i="4"/>
  <c r="AC38" i="4"/>
  <c r="Z39" i="4"/>
  <c r="AA39" i="4"/>
  <c r="AB39" i="4"/>
  <c r="AC39" i="4"/>
  <c r="Z40" i="4"/>
  <c r="AA40" i="4"/>
  <c r="AB40" i="4"/>
  <c r="AC40" i="4"/>
  <c r="Z41" i="4"/>
  <c r="AA41" i="4"/>
  <c r="AB41" i="4"/>
  <c r="AC41" i="4"/>
  <c r="Z42" i="4"/>
  <c r="AA42" i="4"/>
  <c r="AB42" i="4"/>
  <c r="AC42" i="4"/>
  <c r="Z43" i="4"/>
  <c r="AA43" i="4"/>
  <c r="AB43" i="4"/>
  <c r="AC43" i="4"/>
  <c r="Z44" i="4"/>
  <c r="AA44" i="4"/>
  <c r="AB44" i="4"/>
  <c r="AC44" i="4"/>
  <c r="Z45" i="4"/>
  <c r="AA45" i="4"/>
  <c r="AB45" i="4"/>
  <c r="AC45" i="4"/>
  <c r="Z46" i="4"/>
  <c r="AA46" i="4"/>
  <c r="AB46" i="4"/>
  <c r="AC46" i="4"/>
  <c r="Z47" i="4"/>
  <c r="AA47" i="4"/>
  <c r="AB47" i="4"/>
  <c r="AC47" i="4"/>
  <c r="Z48" i="4"/>
  <c r="AA48" i="4"/>
  <c r="AB48" i="4"/>
  <c r="AC48" i="4"/>
  <c r="Z49" i="4"/>
  <c r="AA49" i="4"/>
  <c r="AB49" i="4"/>
  <c r="AC49" i="4"/>
  <c r="Z50" i="4"/>
  <c r="AA50" i="4"/>
  <c r="AB50" i="4"/>
  <c r="AC50" i="4"/>
  <c r="Z51" i="4"/>
  <c r="AA51" i="4"/>
  <c r="AB51" i="4"/>
  <c r="AC51" i="4"/>
  <c r="Z52" i="4"/>
  <c r="AA52" i="4"/>
  <c r="AB52" i="4"/>
  <c r="AC52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B59" i="4"/>
  <c r="AC59" i="4"/>
  <c r="Z60" i="4"/>
  <c r="AC60" i="4"/>
  <c r="Z3" i="4"/>
  <c r="AA3" i="4"/>
  <c r="AB3" i="4"/>
  <c r="AC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V59" i="4"/>
  <c r="W59" i="4"/>
  <c r="T60" i="4"/>
  <c r="W60" i="4"/>
  <c r="BE44" i="3"/>
  <c r="BE45" i="3"/>
  <c r="BE28" i="3"/>
  <c r="BE29" i="3"/>
  <c r="BE30" i="3"/>
  <c r="BE7" i="3"/>
  <c r="BE32" i="3"/>
  <c r="BE33" i="3"/>
  <c r="BE40" i="3"/>
  <c r="BE41" i="3"/>
  <c r="BE34" i="3"/>
  <c r="BE6" i="3"/>
  <c r="BE5" i="3"/>
  <c r="BE8" i="3"/>
  <c r="BE54" i="3"/>
  <c r="BE9" i="3"/>
  <c r="BE46" i="3"/>
  <c r="BE52" i="3"/>
  <c r="BE13" i="3"/>
  <c r="BE21" i="3"/>
  <c r="BE12" i="3"/>
  <c r="BE16" i="3"/>
  <c r="BE38" i="3"/>
  <c r="BE24" i="3"/>
  <c r="BE18" i="3"/>
  <c r="BE25" i="3"/>
  <c r="BE43" i="3"/>
  <c r="BE37" i="3"/>
  <c r="BE50" i="3"/>
  <c r="BE27" i="3"/>
  <c r="BE14" i="3"/>
  <c r="BE23" i="3"/>
  <c r="BE26" i="3"/>
  <c r="BE31" i="3"/>
  <c r="BE36" i="3"/>
  <c r="BE35" i="3"/>
  <c r="BE61" i="3"/>
  <c r="BE62" i="3"/>
  <c r="BE60" i="3"/>
  <c r="BE57" i="3"/>
  <c r="BE47" i="3"/>
  <c r="BE42" i="3"/>
  <c r="BE15" i="3"/>
  <c r="BE48" i="3"/>
  <c r="BE17" i="3"/>
  <c r="BE39" i="3"/>
  <c r="BE19" i="3"/>
  <c r="BE53" i="3"/>
  <c r="BE20" i="3"/>
  <c r="BE59" i="3"/>
  <c r="BE58" i="3"/>
  <c r="BE56" i="3"/>
  <c r="BE49" i="3"/>
  <c r="BE55" i="3"/>
  <c r="BE51" i="3"/>
  <c r="BE22" i="3"/>
  <c r="BE10" i="3"/>
  <c r="BE11" i="3"/>
  <c r="AK48" i="7"/>
  <c r="AK45" i="7"/>
  <c r="AK42" i="7"/>
  <c r="AK32" i="7"/>
  <c r="AK55" i="7"/>
  <c r="AK59" i="7"/>
  <c r="AK16" i="7"/>
  <c r="AK8" i="7"/>
  <c r="AK10" i="7"/>
  <c r="AK34" i="7"/>
  <c r="AK44" i="7"/>
  <c r="AK7" i="7"/>
  <c r="AK5" i="7"/>
  <c r="AK6" i="7"/>
  <c r="AK52" i="7"/>
  <c r="AK33" i="7"/>
  <c r="AK50" i="7"/>
  <c r="AK51" i="7"/>
  <c r="AK11" i="7"/>
  <c r="AK24" i="7"/>
  <c r="AK14" i="7"/>
  <c r="AK18" i="7"/>
  <c r="AK40" i="7"/>
  <c r="AK39" i="7"/>
  <c r="AK31" i="7"/>
  <c r="AK15" i="7"/>
  <c r="AK29" i="7"/>
  <c r="AK12" i="7"/>
  <c r="AK54" i="7"/>
  <c r="AK47" i="7"/>
  <c r="AK36" i="7"/>
  <c r="AK27" i="7"/>
  <c r="AK22" i="7"/>
  <c r="AK21" i="7"/>
  <c r="AK20" i="7"/>
  <c r="AK19" i="7"/>
  <c r="AK62" i="7"/>
  <c r="AK61" i="7"/>
  <c r="AK58" i="7"/>
  <c r="AK53" i="7"/>
  <c r="AK49" i="7"/>
  <c r="AK37" i="7"/>
  <c r="AK41" i="7"/>
  <c r="AK9" i="7"/>
  <c r="AK13" i="7"/>
  <c r="AK38" i="7"/>
  <c r="AK30" i="7"/>
  <c r="AK17" i="7"/>
  <c r="AK23" i="7"/>
  <c r="AK60" i="7"/>
  <c r="AK56" i="7"/>
  <c r="AK57" i="7"/>
  <c r="AK46" i="7"/>
  <c r="AK35" i="7"/>
  <c r="AK43" i="7"/>
  <c r="AK28" i="7"/>
  <c r="AK25" i="7"/>
  <c r="AK26" i="7"/>
  <c r="P3" i="8" l="1"/>
  <c r="N3" i="8"/>
  <c r="M3" i="8"/>
  <c r="L3" i="8"/>
  <c r="J3" i="8"/>
  <c r="I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T3" i="8"/>
  <c r="S3" i="8"/>
  <c r="D62" i="7" l="1"/>
  <c r="G3" i="8" s="1"/>
  <c r="D61" i="7"/>
  <c r="G4" i="8" s="1"/>
  <c r="D59" i="7"/>
  <c r="G6" i="8" s="1"/>
  <c r="D60" i="7"/>
  <c r="G7" i="8" s="1"/>
  <c r="D58" i="7"/>
  <c r="G5" i="8" s="1"/>
  <c r="D51" i="7"/>
  <c r="G15" i="8" s="1"/>
  <c r="D56" i="7"/>
  <c r="G10" i="8" s="1"/>
  <c r="D50" i="7"/>
  <c r="G21" i="8" s="1"/>
  <c r="D52" i="7"/>
  <c r="G11" i="8" s="1"/>
  <c r="D44" i="7"/>
  <c r="G13" i="8" s="1"/>
  <c r="D45" i="7"/>
  <c r="G28" i="8" s="1"/>
  <c r="D54" i="7"/>
  <c r="G9" i="8" s="1"/>
  <c r="D46" i="7"/>
  <c r="G24" i="8" s="1"/>
  <c r="D47" i="7"/>
  <c r="G25" i="8" s="1"/>
  <c r="D57" i="7"/>
  <c r="G16" i="8" s="1"/>
  <c r="D55" i="7"/>
  <c r="G14" i="8" s="1"/>
  <c r="D48" i="7"/>
  <c r="G27" i="8" s="1"/>
  <c r="D36" i="7"/>
  <c r="G34" i="8" s="1"/>
  <c r="D25" i="7"/>
  <c r="G47" i="8" s="1"/>
  <c r="D26" i="7"/>
  <c r="G46" i="8" s="1"/>
  <c r="D22" i="7"/>
  <c r="G51" i="8" s="1"/>
  <c r="D20" i="7"/>
  <c r="G53" i="8" s="1"/>
  <c r="D21" i="7"/>
  <c r="G52" i="8" s="1"/>
  <c r="D19" i="7"/>
  <c r="G54" i="8" s="1"/>
  <c r="D29" i="7"/>
  <c r="G41" i="8" s="1"/>
  <c r="D18" i="7"/>
  <c r="G56" i="8" s="1"/>
  <c r="D28" i="7"/>
  <c r="G40" i="8" s="1"/>
  <c r="D14" i="7"/>
  <c r="G57" i="8" s="1"/>
  <c r="D15" i="7"/>
  <c r="G44" i="8" s="1"/>
  <c r="D53" i="7"/>
  <c r="G8" i="8" s="1"/>
  <c r="D35" i="7"/>
  <c r="G18" i="8" s="1"/>
  <c r="D49" i="7"/>
  <c r="G22" i="8" s="1"/>
  <c r="D8" i="7"/>
  <c r="G17" i="8" s="1"/>
  <c r="D43" i="7"/>
  <c r="G23" i="8" s="1"/>
  <c r="D10" i="7"/>
  <c r="G19" i="8" s="1"/>
  <c r="D34" i="7"/>
  <c r="G20" i="8" s="1"/>
  <c r="D42" i="7"/>
  <c r="G12" i="8" s="1"/>
  <c r="D37" i="7"/>
  <c r="G36" i="8" s="1"/>
  <c r="D38" i="7"/>
  <c r="G35" i="8" s="1"/>
  <c r="D9" i="7"/>
  <c r="G30" i="8" s="1"/>
  <c r="D41" i="7"/>
  <c r="G26" i="8" s="1"/>
  <c r="D32" i="7"/>
  <c r="G29" i="8" s="1"/>
  <c r="D27" i="7"/>
  <c r="G45" i="8" s="1"/>
  <c r="D12" i="7"/>
  <c r="G49" i="8" s="1"/>
  <c r="D30" i="7"/>
  <c r="G37" i="8" s="1"/>
  <c r="D17" i="7"/>
  <c r="G39" i="8" s="1"/>
  <c r="D24" i="7"/>
  <c r="G48" i="8" s="1"/>
  <c r="D11" i="7"/>
  <c r="G50" i="8" s="1"/>
  <c r="D39" i="7"/>
  <c r="G33" i="8" s="1"/>
  <c r="D31" i="7"/>
  <c r="G42" i="8" s="1"/>
  <c r="D40" i="7"/>
  <c r="G32" i="8" s="1"/>
  <c r="D16" i="7"/>
  <c r="G55" i="8" s="1"/>
  <c r="D13" i="7"/>
  <c r="G31" i="8" s="1"/>
  <c r="D33" i="7"/>
  <c r="G38" i="8" s="1"/>
  <c r="D23" i="7"/>
  <c r="G43" i="8" s="1"/>
  <c r="D7" i="7"/>
  <c r="G58" i="8" s="1"/>
  <c r="D6" i="7"/>
  <c r="G60" i="8" s="1"/>
  <c r="D5" i="7"/>
  <c r="G59" i="8" s="1"/>
  <c r="V3" i="4" l="1"/>
  <c r="U3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BD37" i="3" l="1"/>
  <c r="BD22" i="3"/>
  <c r="BD6" i="3"/>
  <c r="BD43" i="3"/>
  <c r="BD23" i="3"/>
  <c r="BD26" i="3"/>
  <c r="BD31" i="3"/>
  <c r="BD36" i="3"/>
  <c r="BD35" i="3"/>
  <c r="BD32" i="3"/>
  <c r="BD10" i="3"/>
  <c r="BD11" i="3"/>
  <c r="BD5" i="3"/>
  <c r="BD8" i="3"/>
  <c r="BD14" i="3"/>
  <c r="BD12" i="3"/>
  <c r="BD16" i="3"/>
  <c r="BD27" i="3"/>
  <c r="BD20" i="3"/>
  <c r="BD13" i="3"/>
  <c r="BD21" i="3"/>
  <c r="BD53" i="3"/>
  <c r="BD19" i="3"/>
  <c r="BD34" i="3"/>
  <c r="BD39" i="3"/>
  <c r="BD17" i="3"/>
  <c r="BD49" i="3"/>
  <c r="BD9" i="3"/>
  <c r="BD48" i="3"/>
  <c r="BD44" i="3"/>
  <c r="BD45" i="3"/>
  <c r="BD52" i="3"/>
  <c r="BD15" i="3"/>
  <c r="BD54" i="3"/>
  <c r="BD46" i="3"/>
  <c r="BD51" i="3"/>
  <c r="BD55" i="3"/>
  <c r="BD29" i="3"/>
  <c r="BD40" i="3"/>
  <c r="BD50" i="3"/>
  <c r="BD58" i="3"/>
  <c r="BD56" i="3"/>
  <c r="BD7" i="3"/>
  <c r="BD38" i="3"/>
  <c r="BD24" i="3"/>
  <c r="BD18" i="3"/>
  <c r="BD25" i="3"/>
  <c r="BD59" i="3"/>
  <c r="BD30" i="3"/>
  <c r="BD33" i="3"/>
  <c r="BD41" i="3"/>
  <c r="BD28" i="3"/>
  <c r="BD62" i="3"/>
  <c r="BD60" i="3"/>
  <c r="BD57" i="3"/>
  <c r="BD47" i="3"/>
  <c r="BD42" i="3"/>
  <c r="BD61" i="3"/>
  <c r="W3" i="4" s="1"/>
  <c r="AG3" i="4"/>
  <c r="AF3" i="4"/>
  <c r="AW44" i="3"/>
  <c r="AW45" i="3"/>
  <c r="AW28" i="3"/>
  <c r="AW29" i="3"/>
  <c r="AW30" i="3"/>
  <c r="AW7" i="3"/>
  <c r="AW32" i="3"/>
  <c r="AW33" i="3"/>
  <c r="AW40" i="3"/>
  <c r="AW41" i="3"/>
  <c r="AW34" i="3"/>
  <c r="AW6" i="3"/>
  <c r="AW5" i="3"/>
  <c r="AW8" i="3"/>
  <c r="AW54" i="3"/>
  <c r="AW9" i="3"/>
  <c r="AW46" i="3"/>
  <c r="AW52" i="3"/>
  <c r="AW13" i="3"/>
  <c r="AW21" i="3"/>
  <c r="AW12" i="3"/>
  <c r="AW16" i="3"/>
  <c r="AW38" i="3"/>
  <c r="AW24" i="3"/>
  <c r="AW18" i="3"/>
  <c r="AW25" i="3"/>
  <c r="AW43" i="3"/>
  <c r="AW37" i="3"/>
  <c r="AW50" i="3"/>
  <c r="AW27" i="3"/>
  <c r="AW14" i="3"/>
  <c r="AW23" i="3"/>
  <c r="AW26" i="3"/>
  <c r="AW31" i="3"/>
  <c r="AW36" i="3"/>
  <c r="AW35" i="3"/>
  <c r="AW61" i="3"/>
  <c r="AW62" i="3"/>
  <c r="AW60" i="3"/>
  <c r="AW57" i="3"/>
  <c r="AW47" i="3"/>
  <c r="AW42" i="3"/>
  <c r="AW15" i="3"/>
  <c r="AW48" i="3"/>
  <c r="AW17" i="3"/>
  <c r="AW39" i="3"/>
  <c r="AW19" i="3"/>
  <c r="AW53" i="3"/>
  <c r="AW20" i="3"/>
  <c r="AW59" i="3"/>
  <c r="AW58" i="3"/>
  <c r="AW56" i="3"/>
  <c r="AW49" i="3"/>
  <c r="AW55" i="3"/>
  <c r="AW51" i="3"/>
  <c r="AW22" i="3"/>
  <c r="AW10" i="3"/>
  <c r="AW11" i="3"/>
  <c r="S3" i="4" l="1"/>
  <c r="AO44" i="3" l="1"/>
  <c r="AO45" i="3"/>
  <c r="AO28" i="3"/>
  <c r="AO29" i="3"/>
  <c r="AO30" i="3"/>
  <c r="AO7" i="3"/>
  <c r="AO32" i="3"/>
  <c r="AO33" i="3"/>
  <c r="AO40" i="3"/>
  <c r="AO41" i="3"/>
  <c r="AO34" i="3"/>
  <c r="AO5" i="3"/>
  <c r="M45" i="4" s="1"/>
  <c r="AO8" i="3"/>
  <c r="M46" i="4" s="1"/>
  <c r="AO54" i="3"/>
  <c r="AO9" i="3"/>
  <c r="AO46" i="3"/>
  <c r="AO52" i="3"/>
  <c r="AO13" i="3"/>
  <c r="AO21" i="3"/>
  <c r="AO12" i="3"/>
  <c r="AO16" i="3"/>
  <c r="AO38" i="3"/>
  <c r="AO24" i="3"/>
  <c r="AO43" i="3"/>
  <c r="AO37" i="3"/>
  <c r="AO50" i="3"/>
  <c r="AO27" i="3"/>
  <c r="AO14" i="3"/>
  <c r="AO23" i="3"/>
  <c r="AO26" i="3"/>
  <c r="AO31" i="3"/>
  <c r="AO36" i="3"/>
  <c r="AO35" i="3"/>
  <c r="AO61" i="3"/>
  <c r="AO62" i="3"/>
  <c r="M4" i="4" s="1"/>
  <c r="AO60" i="3"/>
  <c r="AO57" i="3"/>
  <c r="AO47" i="3"/>
  <c r="AO42" i="3"/>
  <c r="AO15" i="3"/>
  <c r="AO48" i="3"/>
  <c r="AO17" i="3"/>
  <c r="AO39" i="3"/>
  <c r="AO19" i="3"/>
  <c r="AO59" i="3"/>
  <c r="AO58" i="3"/>
  <c r="AO56" i="3"/>
  <c r="AO49" i="3"/>
  <c r="AO55" i="3"/>
  <c r="AO51" i="3"/>
  <c r="AO22" i="3"/>
  <c r="AO10" i="3"/>
  <c r="AO11" i="3"/>
  <c r="AO6" i="3"/>
  <c r="AO18" i="3"/>
  <c r="AO25" i="3"/>
  <c r="AO53" i="3"/>
  <c r="AO20" i="3"/>
  <c r="AG44" i="3"/>
  <c r="AG45" i="3"/>
  <c r="AG28" i="3"/>
  <c r="AG29" i="3"/>
  <c r="AG30" i="3"/>
  <c r="AG7" i="3"/>
  <c r="AG32" i="3"/>
  <c r="AG33" i="3"/>
  <c r="AG40" i="3"/>
  <c r="AG41" i="3"/>
  <c r="AG34" i="3"/>
  <c r="AG5" i="3"/>
  <c r="AG8" i="3"/>
  <c r="AG54" i="3"/>
  <c r="AG9" i="3"/>
  <c r="N27" i="4" s="1"/>
  <c r="AG46" i="3"/>
  <c r="AG52" i="3"/>
  <c r="AG13" i="3"/>
  <c r="N37" i="4" s="1"/>
  <c r="AG21" i="3"/>
  <c r="N35" i="4" s="1"/>
  <c r="AG12" i="3"/>
  <c r="N43" i="4" s="1"/>
  <c r="AG16" i="3"/>
  <c r="N42" i="4" s="1"/>
  <c r="AG38" i="3"/>
  <c r="AG24" i="3"/>
  <c r="AG43" i="3"/>
  <c r="AG37" i="3"/>
  <c r="AG50" i="3"/>
  <c r="AG27" i="3"/>
  <c r="AG14" i="3"/>
  <c r="AG23" i="3"/>
  <c r="AG26" i="3"/>
  <c r="AG31" i="3"/>
  <c r="AG36" i="3"/>
  <c r="AG35" i="3"/>
  <c r="AG61" i="3"/>
  <c r="AG62" i="3"/>
  <c r="N4" i="4" s="1"/>
  <c r="AG60" i="3"/>
  <c r="N5" i="4" s="1"/>
  <c r="AG57" i="3"/>
  <c r="AG47" i="3"/>
  <c r="AG42" i="3"/>
  <c r="AG15" i="3"/>
  <c r="AG48" i="3"/>
  <c r="AG17" i="3"/>
  <c r="AG39" i="3"/>
  <c r="AG19" i="3"/>
  <c r="AG59" i="3"/>
  <c r="N6" i="4" s="1"/>
  <c r="AG58" i="3"/>
  <c r="AG56" i="3"/>
  <c r="AG49" i="3"/>
  <c r="AG55" i="3"/>
  <c r="AG51" i="3"/>
  <c r="AG22" i="3"/>
  <c r="AG10" i="3"/>
  <c r="AG11" i="3"/>
  <c r="AG6" i="3"/>
  <c r="N44" i="4" s="1"/>
  <c r="AG18" i="3"/>
  <c r="AG25" i="3"/>
  <c r="AG53" i="3"/>
  <c r="AG20" i="3"/>
  <c r="Y44" i="3"/>
  <c r="Y45" i="3"/>
  <c r="Y28" i="3"/>
  <c r="Y29" i="3"/>
  <c r="Y30" i="3"/>
  <c r="Y7" i="3"/>
  <c r="Y32" i="3"/>
  <c r="Y33" i="3"/>
  <c r="Y40" i="3"/>
  <c r="Y41" i="3"/>
  <c r="Y34" i="3"/>
  <c r="Y5" i="3"/>
  <c r="O45" i="4" s="1"/>
  <c r="Y8" i="3"/>
  <c r="Y54" i="3"/>
  <c r="Y9" i="3"/>
  <c r="O27" i="4" s="1"/>
  <c r="Y46" i="3"/>
  <c r="Y52" i="3"/>
  <c r="Y13" i="3"/>
  <c r="O37" i="4" s="1"/>
  <c r="Y21" i="3"/>
  <c r="O35" i="4" s="1"/>
  <c r="Y12" i="3"/>
  <c r="O43" i="4" s="1"/>
  <c r="Y16" i="3"/>
  <c r="O42" i="4" s="1"/>
  <c r="Y38" i="3"/>
  <c r="Y24" i="3"/>
  <c r="Y43" i="3"/>
  <c r="Y37" i="3"/>
  <c r="Y50" i="3"/>
  <c r="Y27" i="3"/>
  <c r="Y14" i="3"/>
  <c r="Y23" i="3"/>
  <c r="Y26" i="3"/>
  <c r="Y31" i="3"/>
  <c r="Y36" i="3"/>
  <c r="Y35" i="3"/>
  <c r="Y61" i="3"/>
  <c r="Y62" i="3"/>
  <c r="O4" i="4" s="1"/>
  <c r="Y60" i="3"/>
  <c r="Y57" i="3"/>
  <c r="Y47" i="3"/>
  <c r="Y42" i="3"/>
  <c r="Y15" i="3"/>
  <c r="Y48" i="3"/>
  <c r="Y17" i="3"/>
  <c r="Y39" i="3"/>
  <c r="Y19" i="3"/>
  <c r="Y59" i="3"/>
  <c r="Y58" i="3"/>
  <c r="Y56" i="3"/>
  <c r="Y49" i="3"/>
  <c r="Y55" i="3"/>
  <c r="Y51" i="3"/>
  <c r="Y22" i="3"/>
  <c r="Y10" i="3"/>
  <c r="Y11" i="3"/>
  <c r="Y6" i="3"/>
  <c r="O44" i="4" s="1"/>
  <c r="Y18" i="3"/>
  <c r="Y25" i="3"/>
  <c r="Y53" i="3"/>
  <c r="Y20" i="3"/>
  <c r="I44" i="3"/>
  <c r="I45" i="3"/>
  <c r="I28" i="3"/>
  <c r="I29" i="3"/>
  <c r="I30" i="3"/>
  <c r="I7" i="3"/>
  <c r="I32" i="3"/>
  <c r="I33" i="3"/>
  <c r="I40" i="3"/>
  <c r="I41" i="3"/>
  <c r="I34" i="3"/>
  <c r="I5" i="3"/>
  <c r="I8" i="3"/>
  <c r="I54" i="3"/>
  <c r="I9" i="3"/>
  <c r="I46" i="3"/>
  <c r="I52" i="3"/>
  <c r="I13" i="3"/>
  <c r="I21" i="3"/>
  <c r="I12" i="3"/>
  <c r="I16" i="3"/>
  <c r="I38" i="3"/>
  <c r="I24" i="3"/>
  <c r="I43" i="3"/>
  <c r="I37" i="3"/>
  <c r="I50" i="3"/>
  <c r="I27" i="3"/>
  <c r="I14" i="3"/>
  <c r="I23" i="3"/>
  <c r="I26" i="3"/>
  <c r="I31" i="3"/>
  <c r="I36" i="3"/>
  <c r="I35" i="3"/>
  <c r="I61" i="3"/>
  <c r="I62" i="3"/>
  <c r="I60" i="3"/>
  <c r="I57" i="3"/>
  <c r="I47" i="3"/>
  <c r="I42" i="3"/>
  <c r="I15" i="3"/>
  <c r="I48" i="3"/>
  <c r="I17" i="3"/>
  <c r="I39" i="3"/>
  <c r="I19" i="3"/>
  <c r="I59" i="3"/>
  <c r="I58" i="3"/>
  <c r="I56" i="3"/>
  <c r="I49" i="3"/>
  <c r="I55" i="3"/>
  <c r="I51" i="3"/>
  <c r="I22" i="3"/>
  <c r="I10" i="3"/>
  <c r="I11" i="3"/>
  <c r="I6" i="3"/>
  <c r="I18" i="3"/>
  <c r="I25" i="3"/>
  <c r="I53" i="3"/>
  <c r="I20" i="3"/>
  <c r="O5" i="4" l="1"/>
  <c r="O40" i="4"/>
  <c r="O24" i="4"/>
  <c r="O29" i="4"/>
  <c r="O14" i="4"/>
  <c r="N16" i="4"/>
  <c r="N9" i="4"/>
  <c r="N15" i="4"/>
  <c r="N38" i="4"/>
  <c r="N8" i="4"/>
  <c r="N22" i="4"/>
  <c r="N10" i="4"/>
  <c r="N20" i="4"/>
  <c r="M31" i="4"/>
  <c r="M34" i="4"/>
  <c r="M17" i="4"/>
  <c r="M5" i="4"/>
  <c r="M40" i="4"/>
  <c r="M24" i="4"/>
  <c r="M29" i="4"/>
  <c r="M43" i="4"/>
  <c r="M14" i="4"/>
  <c r="P44" i="4"/>
  <c r="P16" i="4"/>
  <c r="P15" i="4"/>
  <c r="P38" i="4"/>
  <c r="P8" i="4"/>
  <c r="P22" i="4"/>
  <c r="P37" i="4"/>
  <c r="P10" i="4"/>
  <c r="P20" i="4"/>
  <c r="O31" i="4"/>
  <c r="O34" i="4"/>
  <c r="O17" i="4"/>
  <c r="P33" i="4"/>
  <c r="P13" i="4"/>
  <c r="P6" i="4"/>
  <c r="P21" i="4"/>
  <c r="P7" i="4"/>
  <c r="P41" i="4"/>
  <c r="P32" i="4"/>
  <c r="P36" i="4"/>
  <c r="P42" i="4"/>
  <c r="P11" i="4"/>
  <c r="P46" i="4"/>
  <c r="P19" i="4"/>
  <c r="O30" i="4"/>
  <c r="O28" i="4"/>
  <c r="O12" i="4"/>
  <c r="O25" i="4"/>
  <c r="O26" i="4"/>
  <c r="O39" i="4"/>
  <c r="O18" i="4"/>
  <c r="O23" i="4"/>
  <c r="N33" i="4"/>
  <c r="N13" i="4"/>
  <c r="N21" i="4"/>
  <c r="N7" i="4"/>
  <c r="N41" i="4"/>
  <c r="N32" i="4"/>
  <c r="N36" i="4"/>
  <c r="N11" i="4"/>
  <c r="N19" i="4"/>
  <c r="M30" i="4"/>
  <c r="M28" i="4"/>
  <c r="M12" i="4"/>
  <c r="M25" i="4"/>
  <c r="M26" i="4"/>
  <c r="M39" i="4"/>
  <c r="M18" i="4"/>
  <c r="M23" i="4"/>
  <c r="M35" i="4"/>
  <c r="M27" i="4"/>
  <c r="P9" i="4"/>
  <c r="P31" i="4"/>
  <c r="P34" i="4"/>
  <c r="P17" i="4"/>
  <c r="P40" i="4"/>
  <c r="P24" i="4"/>
  <c r="P29" i="4"/>
  <c r="P43" i="4"/>
  <c r="P14" i="4"/>
  <c r="P45" i="4"/>
  <c r="O16" i="4"/>
  <c r="O9" i="4"/>
  <c r="O15" i="4"/>
  <c r="O38" i="4"/>
  <c r="O8" i="4"/>
  <c r="O22" i="4"/>
  <c r="O10" i="4"/>
  <c r="O20" i="4"/>
  <c r="N31" i="4"/>
  <c r="N34" i="4"/>
  <c r="N17" i="4"/>
  <c r="N40" i="4"/>
  <c r="N24" i="4"/>
  <c r="N29" i="4"/>
  <c r="N14" i="4"/>
  <c r="M44" i="4"/>
  <c r="M16" i="4"/>
  <c r="M9" i="4"/>
  <c r="M15" i="4"/>
  <c r="M38" i="4"/>
  <c r="M8" i="4"/>
  <c r="M22" i="4"/>
  <c r="M37" i="4"/>
  <c r="M10" i="4"/>
  <c r="M20" i="4"/>
  <c r="P5" i="4"/>
  <c r="P30" i="4"/>
  <c r="P28" i="4"/>
  <c r="P12" i="4"/>
  <c r="P25" i="4"/>
  <c r="P26" i="4"/>
  <c r="P4" i="4"/>
  <c r="P39" i="4"/>
  <c r="P18" i="4"/>
  <c r="P23" i="4"/>
  <c r="P35" i="4"/>
  <c r="P27" i="4"/>
  <c r="O33" i="4"/>
  <c r="O13" i="4"/>
  <c r="O6" i="4"/>
  <c r="O21" i="4"/>
  <c r="O7" i="4"/>
  <c r="O41" i="4"/>
  <c r="O32" i="4"/>
  <c r="O36" i="4"/>
  <c r="O11" i="4"/>
  <c r="O19" i="4"/>
  <c r="N30" i="4"/>
  <c r="N28" i="4"/>
  <c r="N12" i="4"/>
  <c r="N25" i="4"/>
  <c r="N26" i="4"/>
  <c r="N39" i="4"/>
  <c r="N18" i="4"/>
  <c r="N23" i="4"/>
  <c r="M33" i="4"/>
  <c r="M13" i="4"/>
  <c r="M6" i="4"/>
  <c r="M21" i="4"/>
  <c r="M7" i="4"/>
  <c r="M41" i="4"/>
  <c r="M32" i="4"/>
  <c r="M36" i="4"/>
  <c r="M42" i="4"/>
  <c r="M11" i="4"/>
  <c r="M19" i="4"/>
  <c r="M3" i="4"/>
  <c r="P3" i="4"/>
  <c r="O3" i="4"/>
  <c r="N3" i="4"/>
  <c r="J3" i="4"/>
  <c r="I3" i="4"/>
  <c r="H3" i="4"/>
  <c r="I4" i="4"/>
  <c r="J4" i="4"/>
  <c r="H4" i="4"/>
  <c r="H5" i="4" l="1"/>
  <c r="I5" i="4"/>
  <c r="J5" i="4"/>
</calcChain>
</file>

<file path=xl/sharedStrings.xml><?xml version="1.0" encoding="utf-8"?>
<sst xmlns="http://schemas.openxmlformats.org/spreadsheetml/2006/main" count="1382" uniqueCount="637">
  <si>
    <t>Temps FC</t>
  </si>
  <si>
    <t>Temps AC</t>
  </si>
  <si>
    <t>Temps BR</t>
  </si>
  <si>
    <t>Echecs</t>
  </si>
  <si>
    <t>Noeuds</t>
  </si>
  <si>
    <t>Temps</t>
  </si>
  <si>
    <t>FC</t>
  </si>
  <si>
    <t>Instance</t>
  </si>
  <si>
    <t>Nb var</t>
  </si>
  <si>
    <t>Nb contraintes</t>
  </si>
  <si>
    <t>Max clique (lb)</t>
  </si>
  <si>
    <t>ub</t>
  </si>
  <si>
    <t>Solution</t>
  </si>
  <si>
    <t>Création</t>
  </si>
  <si>
    <t>DS</t>
  </si>
  <si>
    <t>Opt</t>
  </si>
  <si>
    <t>?</t>
  </si>
  <si>
    <t>anna.col</t>
  </si>
  <si>
    <t>david.col</t>
  </si>
  <si>
    <t>DSJC1000.1.col</t>
  </si>
  <si>
    <t>DSJC1000.5.col</t>
  </si>
  <si>
    <t>DSJC125.1.col</t>
  </si>
  <si>
    <t>DSJC125.5.col</t>
  </si>
  <si>
    <t>DSJC125.9.col</t>
  </si>
  <si>
    <t>DSJC250.1.col</t>
  </si>
  <si>
    <t>DSJC250.5.col</t>
  </si>
  <si>
    <t>DSJC500.1.col</t>
  </si>
  <si>
    <t>DSJR500.5.col</t>
  </si>
  <si>
    <t>fpsol2.i.2.col</t>
  </si>
  <si>
    <t>fpsol2.i.3.col</t>
  </si>
  <si>
    <t>games120.col</t>
  </si>
  <si>
    <t>homer.col</t>
  </si>
  <si>
    <t>huck.col</t>
  </si>
  <si>
    <t>jean.col</t>
  </si>
  <si>
    <t>le450_15a.col</t>
  </si>
  <si>
    <t>le450_15b.col</t>
  </si>
  <si>
    <t>le450_25a.col</t>
  </si>
  <si>
    <t>le450_25b.col</t>
  </si>
  <si>
    <t>le450_5a.col</t>
  </si>
  <si>
    <t>le450_5b.col</t>
  </si>
  <si>
    <t>miles1000.col</t>
  </si>
  <si>
    <t>miles1500.col</t>
  </si>
  <si>
    <t>miles250.col</t>
  </si>
  <si>
    <t>miles500.col</t>
  </si>
  <si>
    <t>miles750.col</t>
  </si>
  <si>
    <t>mulsol.i.1.col</t>
  </si>
  <si>
    <t>mulsol.i.2.col</t>
  </si>
  <si>
    <t>mulsol.i.3.col</t>
  </si>
  <si>
    <t>mulsol.i.4.col</t>
  </si>
  <si>
    <t>mulsol.i.5.col</t>
  </si>
  <si>
    <t>myciel2.col</t>
  </si>
  <si>
    <t>myciel3.col</t>
  </si>
  <si>
    <t>myciel4.col</t>
  </si>
  <si>
    <t>myciel5.col</t>
  </si>
  <si>
    <t>myciel6.col</t>
  </si>
  <si>
    <t>myciel7.col</t>
  </si>
  <si>
    <t>queen10_10.col</t>
  </si>
  <si>
    <t>queen11_11.col</t>
  </si>
  <si>
    <t>queen12_12.col</t>
  </si>
  <si>
    <t>queen13_13.col</t>
  </si>
  <si>
    <t>queen14_14.col</t>
  </si>
  <si>
    <t>queen5_5.col</t>
  </si>
  <si>
    <t>queen6_6.col</t>
  </si>
  <si>
    <t>queen7_7.col</t>
  </si>
  <si>
    <t>queen8_12.col</t>
  </si>
  <si>
    <t>queen8_8.col</t>
  </si>
  <si>
    <t>queen9_9.col</t>
  </si>
  <si>
    <t>zeroin.i.1.col</t>
  </si>
  <si>
    <t>zeroin.i.2.col</t>
  </si>
  <si>
    <t>zeroin.i.3.col</t>
  </si>
  <si>
    <t>fpsol2.i.1.col</t>
  </si>
  <si>
    <t>le450_5c.col</t>
  </si>
  <si>
    <t>le450_5d.col</t>
  </si>
  <si>
    <t>queen15_15.col</t>
  </si>
  <si>
    <t>queen16_16.col</t>
  </si>
  <si>
    <t>FC + AC de tps en tps</t>
  </si>
  <si>
    <t>Temps création</t>
  </si>
  <si>
    <t>DS_Solution</t>
  </si>
  <si>
    <t>DS_Temps</t>
  </si>
  <si>
    <t>DS_Noeuds</t>
  </si>
  <si>
    <t>DS_Echecs</t>
  </si>
  <si>
    <t>DS_Temps BR</t>
  </si>
  <si>
    <t>DS_Temps AC</t>
  </si>
  <si>
    <t>DS_Temps FC</t>
  </si>
  <si>
    <t>FC_AC_Solution</t>
  </si>
  <si>
    <t>FC_AC_Temps</t>
  </si>
  <si>
    <t>FC_AC_Noeuds</t>
  </si>
  <si>
    <t>FC_AC_Echecs</t>
  </si>
  <si>
    <t>FC_AC_Temps BR</t>
  </si>
  <si>
    <t>FC_AC_Temps AC</t>
  </si>
  <si>
    <t>FC_AC_Temps FC</t>
  </si>
  <si>
    <t>FC_Solution</t>
  </si>
  <si>
    <t>FC_Temps</t>
  </si>
  <si>
    <t>FC_Noeuds</t>
  </si>
  <si>
    <t>FC_Echecs</t>
  </si>
  <si>
    <t>FC_Temps BR</t>
  </si>
  <si>
    <t>FC_Temps AC</t>
  </si>
  <si>
    <t>FC_Temps FC</t>
  </si>
  <si>
    <t>Solutions optimales</t>
  </si>
  <si>
    <t>Solutions réalisables non optimales</t>
  </si>
  <si>
    <t>DS_dist_opt</t>
  </si>
  <si>
    <t>FC_AC_dist_opt</t>
  </si>
  <si>
    <t>FC_dist_opt</t>
  </si>
  <si>
    <t>total</t>
  </si>
  <si>
    <t>Taille de l'instance</t>
  </si>
  <si>
    <t>DS sans clique max</t>
  </si>
  <si>
    <t>DS_sans_clique_Solution</t>
  </si>
  <si>
    <t>DS_sans_clique_dist_opt</t>
  </si>
  <si>
    <t>DS_sans_clique_Temps</t>
  </si>
  <si>
    <t>DS_sans_clique_Noeuds</t>
  </si>
  <si>
    <t>DS_sans_clique_Echecs</t>
  </si>
  <si>
    <t>DS_sans_clique_Temps_BR</t>
  </si>
  <si>
    <t>DS_sans_clique_Temps_AC</t>
  </si>
  <si>
    <t>DS_sans_clique_Temps_FC</t>
  </si>
  <si>
    <t>clique_max/nb var</t>
  </si>
  <si>
    <t>[11, 0]</t>
  </si>
  <si>
    <t>[7, 6, 0]</t>
  </si>
  <si>
    <t>[18, 17, 16, 15, 0]</t>
  </si>
  <si>
    <t>[7, 6, 5, 0]</t>
  </si>
  <si>
    <t>[58, 57, 56, 55, 54, 53, 52, 0]</t>
  </si>
  <si>
    <t>[8, 7, 0]</t>
  </si>
  <si>
    <t>[14, 13, 12, 11, 0]</t>
  </si>
  <si>
    <t>[14, 13, 12, 0]</t>
  </si>
  <si>
    <t>[15, 14, 13]</t>
  </si>
  <si>
    <t>[65, 0]</t>
  </si>
  <si>
    <t>[33, 0]</t>
  </si>
  <si>
    <t>[32, 0]</t>
  </si>
  <si>
    <t>[9]</t>
  </si>
  <si>
    <t>[13, 0]</t>
  </si>
  <si>
    <t>[11, 10]</t>
  </si>
  <si>
    <t>[17, 16, 0]</t>
  </si>
  <si>
    <t>[25, 0]</t>
  </si>
  <si>
    <t>[10, 9, 0]</t>
  </si>
  <si>
    <t>[11, 10, 0]</t>
  </si>
  <si>
    <t>[13, 12, 11, 0]</t>
  </si>
  <si>
    <t>[45, 44, 0]</t>
  </si>
  <si>
    <t>[73, 0]</t>
  </si>
  <si>
    <t>[8, 0]</t>
  </si>
  <si>
    <t>[22, 21, 20, 0]</t>
  </si>
  <si>
    <t>[33, 32, 31, 0]</t>
  </si>
  <si>
    <t>[49, 0]</t>
  </si>
  <si>
    <t>[31, 0]</t>
  </si>
  <si>
    <t>[3, 0]</t>
  </si>
  <si>
    <t>[4, 0]</t>
  </si>
  <si>
    <t>[5, 0]</t>
  </si>
  <si>
    <t>[6, 0]</t>
  </si>
  <si>
    <t>[7, 0]</t>
  </si>
  <si>
    <t>[15, 14, 13, 12, 0]</t>
  </si>
  <si>
    <t>[16, 15, 14, 13, 0]</t>
  </si>
  <si>
    <t>[21, 20, 19, 18, 17, 16, 0]</t>
  </si>
  <si>
    <t>[21, 20, 19, 18, 17, 0]</t>
  </si>
  <si>
    <t>[20, 19, 18, 0]</t>
  </si>
  <si>
    <t>[23, 22, 21, 20, 19, 0]</t>
  </si>
  <si>
    <t>[6, 5]</t>
  </si>
  <si>
    <t>[9, 8, 7, 0]</t>
  </si>
  <si>
    <t>[10, 9, 8, 7, 0]</t>
  </si>
  <si>
    <t>[13, 12]</t>
  </si>
  <si>
    <t>[14, 13, 12, 11, 10, 9, 0]</t>
  </si>
  <si>
    <t>[30, 0]</t>
  </si>
  <si>
    <t>[58, 0]</t>
  </si>
  <si>
    <t>[17, 0]</t>
  </si>
  <si>
    <t>[10, 0]</t>
  </si>
  <si>
    <t>[13, 12, 0]</t>
  </si>
  <si>
    <t>[16, 15, 14, 0]</t>
  </si>
  <si>
    <t>[21, 0]</t>
  </si>
  <si>
    <t>[21, 20, 19, 18, 0]</t>
  </si>
  <si>
    <t>[20, 19, 0]</t>
  </si>
  <si>
    <t>[23, 22, 21, 0]</t>
  </si>
  <si>
    <t>[14, 13, 12, 11, 10, 0]</t>
  </si>
  <si>
    <t>[17, 16, 15, 0]</t>
  </si>
  <si>
    <t>[6, 5, 0]</t>
  </si>
  <si>
    <t>[54, 53, 52, 0]</t>
  </si>
  <si>
    <t>[13]</t>
  </si>
  <si>
    <t>[10]</t>
  </si>
  <si>
    <t>[16, 0]</t>
  </si>
  <si>
    <t>[12, 11, 0]</t>
  </si>
  <si>
    <t>[10, 9, 8, 7, 6, 5]</t>
  </si>
  <si>
    <t>[42, 0]</t>
  </si>
  <si>
    <t>[20, 0]</t>
  </si>
  <si>
    <t>[20, 19, 18, 17, 0]</t>
  </si>
  <si>
    <t>[21, 20, 0]</t>
  </si>
  <si>
    <t>[21, 20, 19, 0]</t>
  </si>
  <si>
    <t>[5]</t>
  </si>
  <si>
    <t>[12, 11, 10, 9, 0]</t>
  </si>
  <si>
    <t>[0,09931159019470215, 600,9141442775726]</t>
  </si>
  <si>
    <t>[0,11578249931335449, 600,0013525485992]</t>
  </si>
  <si>
    <t>[0,38227343559265137, 0,025950193405151367]</t>
  </si>
  <si>
    <t>[0,05190157890319824, 600,1322214603424]</t>
  </si>
  <si>
    <t>[0,04940629005432129, 600,0002431869507]</t>
  </si>
  <si>
    <t>[0,3894023895263672, 0,023956298828125]</t>
  </si>
  <si>
    <t>[2,9069762229919434, 2,2780959606170654, 600,0413296222687]</t>
  </si>
  <si>
    <t>[2,946385145187378, 2,270354747772217, 600,0089378356934]</t>
  </si>
  <si>
    <t>[2,972846746444702, 2,9540257453918457, 600,0355343818665]</t>
  </si>
  <si>
    <t>[5,039075613021851, 2,746777296066284, 2,5940635204315186, 66,43119478225708, 600,2034666538239]</t>
  </si>
  <si>
    <t>[5,10230016708374, 2,7033956050872803, 2,7610461711883545, 48,42207455635071, 600,0504863262177]</t>
  </si>
  <si>
    <t>[5,943331718444824, 2,901982545852661, 3,699967861175537, 600,0032422542572]</t>
  </si>
  <si>
    <t>[0,07535719871520996, 0,0219571590423584, 52,398377895355225, 1,1538045406341553]</t>
  </si>
  <si>
    <t>[0,03792762756347656, 0,022458314895629883, 600,000449180603]</t>
  </si>
  <si>
    <t>[0,12857484817504883, 1,3439393043518066, 0,01447153091430664]</t>
  </si>
  <si>
    <t>[0,026950359344482422, 0,046912193298339844, 0,0024938583374023438]</t>
  </si>
  <si>
    <t>[0,062383174896240234, 0,047408103942871094, 0,0024938583374023438]</t>
  </si>
  <si>
    <t>[0,03143882751464844, 0,001497030258178711]</t>
  </si>
  <si>
    <t>[0,5354828834533691, 4,067269325256348, 6,752830982208252, 4,060279130935669, 17,51669669151306, 52,93036603927612, 307,71698784828186, 604,1585767269135]</t>
  </si>
  <si>
    <t>[0,5594375133514404, 600,0014474391937]</t>
  </si>
  <si>
    <t>[22,309083938598633, 7,263191223144531, 15,365934371948242, 600,0005421638489]</t>
  </si>
  <si>
    <t>[0,18265318870544434, 0,14522385597229004, 600,0752158164978]</t>
  </si>
  <si>
    <t>[0,18218302726745605, 0,1117863655090332, 600,0005867481232]</t>
  </si>
  <si>
    <t>[0,45473623275756836, 0,17891979217529297, 600,0012209415436]</t>
  </si>
  <si>
    <t>[0,23156070709228516, 0,12441468238830566, 0,30492329597473145, 143,06948971748352, 600,0240335464478]</t>
  </si>
  <si>
    <t>[0,2305605411529541, 0,15520381927490234, 0,3528292179107666, 224,56754064559937, 600,0008244514465]</t>
  </si>
  <si>
    <t>[0,46860766410827637, 0,20760679244995117, 2,2886505126953125, 600,0040514469147]</t>
  </si>
  <si>
    <t>[0,7835099697113037, 6,954777956008911, 600,0927584171295]</t>
  </si>
  <si>
    <t>[0,9222478866577148, 600,0037572383881]</t>
  </si>
  <si>
    <t>[1,2092022895812988, 0,5053281784057617, 600,0020399093628]</t>
  </si>
  <si>
    <t>[0,7816569805145264, 0,6302156448364258, 0,6537537574768066]</t>
  </si>
  <si>
    <t>[0,79848313331604, 0,6492657661437988, 0,7479331493377686]</t>
  </si>
  <si>
    <t>[0,9187538623809814]</t>
  </si>
  <si>
    <t>[24,325603246688843, 644,8715705871582]</t>
  </si>
  <si>
    <t>[48,967899799346924, 600,2903833389282]</t>
  </si>
  <si>
    <t>[88,93725395202637, 600,0091731548309]</t>
  </si>
  <si>
    <t>[23,558716535568237, 600,2894706726074]</t>
  </si>
  <si>
    <t>[20,538123846054077, 600,0012819766998]</t>
  </si>
  <si>
    <t>[211,59336113929749, 600,0030090808868]</t>
  </si>
  <si>
    <t>[67,53884625434875, 600,2480370998383]</t>
  </si>
  <si>
    <t>[23,110652685165405, 600,0024309158325]</t>
  </si>
  <si>
    <t>[254,3506956100464, 600,0030217170715]</t>
  </si>
  <si>
    <t>[0,03243708610534668]</t>
  </si>
  <si>
    <t>[0,02794671058654785]</t>
  </si>
  <si>
    <t>[0,13798761367797852]</t>
  </si>
  <si>
    <t>[2,481463670730591, 600,8055860996246]</t>
  </si>
  <si>
    <t>[2,7752041816711426, 600,002747297287]</t>
  </si>
  <si>
    <t>[4,0373241901397705, 600,0038821697235]</t>
  </si>
  <si>
    <t>[0,03243899345397949, 0,9042818546295166]</t>
  </si>
  <si>
    <t>[0,026949405670166016, 0,787003755569458]</t>
  </si>
  <si>
    <t>[0,20061898231506348, 0,013972759246826172]</t>
  </si>
  <si>
    <t>[0,021956920623779297, 1,91754150390625]</t>
  </si>
  <si>
    <t>[0,020459413528442383, 600,0002434253693]</t>
  </si>
  <si>
    <t>[0,09282612800598145]</t>
  </si>
  <si>
    <t>[1,804567575454712, 407,6819293498993, 600,7969527244568]</t>
  </si>
  <si>
    <t>[1,9153621196746826, 75,27791142463684, 600,0049905776978]</t>
  </si>
  <si>
    <t>[12,663913488388062, 600,0036020278931]</t>
  </si>
  <si>
    <t>[1,7347018718719482, 16,502699613571167, 600,746209859848]</t>
  </si>
  <si>
    <t>[1,31866455078125, 600,0073237419128]</t>
  </si>
  <si>
    <t>[13,004853248596191, 600,0058839321136]</t>
  </si>
  <si>
    <t>[2,8376080989837646, 601,8248460292816]</t>
  </si>
  <si>
    <t>[2,029952049255371, 600,06738114357]</t>
  </si>
  <si>
    <t>[21,705232858657837, 0,4236938953399658]</t>
  </si>
  <si>
    <t>[2,3665010929107666, 601,092945098877]</t>
  </si>
  <si>
    <t>[1,7706325054168701, 600,0018539428711]</t>
  </si>
  <si>
    <t>[18,342782020568848, 0,45064330101013184]</t>
  </si>
  <si>
    <t>[0,8773312568664551, 494,41852259635925, 600,2902286052704]</t>
  </si>
  <si>
    <t>[0,6899628639221191, 600,0347867012024]</t>
  </si>
  <si>
    <t>[2,9884543418884277, 9,882210731506348, 600,0058791637421]</t>
  </si>
  <si>
    <t>[0,9017844200134277, 68,15940999984741, 600,2777986526489]</t>
  </si>
  <si>
    <t>[0,8194420337677002, 600,0060408115387]</t>
  </si>
  <si>
    <t>[3,0568480491638184, 0,7595558166503906, 600,004887342453]</t>
  </si>
  <si>
    <t>[1,3850445747375488, 462,5731782913208, 600,2018837928772]</t>
  </si>
  <si>
    <t>[1,3183810710906982, 600,0052354335785]</t>
  </si>
  <si>
    <t>[8,286743402481079, 1,2835607528686523, 600,0057339668274]</t>
  </si>
  <si>
    <t>[1,3778808116912842, 0,530989408493042, 491,29373717308044, 600,7042837142944]</t>
  </si>
  <si>
    <t>[1,66957688331604, 0,4755985736846924, 600,0365695953369]</t>
  </si>
  <si>
    <t>[7,912826061248779, 1,0709640979766846, 25,99411630630493, 36,72520971298218, 95,42938828468323, 0,4462771415710449]</t>
  </si>
  <si>
    <t>[0,25052714347839355, 87,58010601997375, 603,4421956539154]</t>
  </si>
  <si>
    <t>[0,2884514331817627, 17,88349962234497, 600,0007829666138]</t>
  </si>
  <si>
    <t>[9,395091772079468, 38,782264947891235]</t>
  </si>
  <si>
    <t>[0,6977965831756592, 600,6703324317932]</t>
  </si>
  <si>
    <t>[0,7361001968383789, 600,000777721405]</t>
  </si>
  <si>
    <t>[11,82996416091919, 600,0283348560333]</t>
  </si>
  <si>
    <t>[0,034435272216796875, 600,2741041183472]</t>
  </si>
  <si>
    <t>[0,03693246841430664, 600,0008275508881]</t>
  </si>
  <si>
    <t>[0,09032106399536133, 0,010980844497680664]</t>
  </si>
  <si>
    <t>[0,07595682144165039, 1,7441833019256592, 53,29217743873596, 601,1720523834229]</t>
  </si>
  <si>
    <t>[0,06986761093139648, 84,73530626296997, 166,99774146080017, 600,0007784366608]</t>
  </si>
  <si>
    <t>[0,7385988235473633, 0,11608719825744629]</t>
  </si>
  <si>
    <t>[0,16704225540161133, 3,8177413940429688, 145,59169125556946, 602,3583850860596]</t>
  </si>
  <si>
    <t>[0,17277073860168457, 600,0007908344269]</t>
  </si>
  <si>
    <t>[3,1350417137145996, 2,006683111190796]</t>
  </si>
  <si>
    <t>[1,6335465908050537, 604,6138317584991]</t>
  </si>
  <si>
    <t>[1,3103303909301758, 600,0018861293793]</t>
  </si>
  <si>
    <t>[8,065886735916138, 600,008838891983]</t>
  </si>
  <si>
    <t>[1,249624252319336, 601,5924324989319]</t>
  </si>
  <si>
    <t>[0,873340368270874, 600,0008134841919]</t>
  </si>
  <si>
    <t>[8,179517984390259, 1,4262864589691162]</t>
  </si>
  <si>
    <t>[1,173691987991333, 601,6092972755432]</t>
  </si>
  <si>
    <t>[0,7296137809753418, 600,0005292892456]</t>
  </si>
  <si>
    <t>[8,466403484344482, 1,785604476928711]</t>
  </si>
  <si>
    <t>[0,7610516548156738, 601,608412027359]</t>
  </si>
  <si>
    <t>[0,7161374092102051, 600,0010764598846]</t>
  </si>
  <si>
    <t>[8,773107290267944, 1,488813877105713]</t>
  </si>
  <si>
    <t>[0,7226269245147705, 604,2856857776642]</t>
  </si>
  <si>
    <t>[0,7518348693847656, 600,001739025116]</t>
  </si>
  <si>
    <t>[9,29055666923523, 1,7152409553527832]</t>
  </si>
  <si>
    <t>[0,0, 0,0]</t>
  </si>
  <si>
    <t>[0,0, 0,000997781753540039]</t>
  </si>
  <si>
    <t>[0,0, 0,0014965534210205078]</t>
  </si>
  <si>
    <t>[0,0009980201721191406, 0,0009980201721191406]</t>
  </si>
  <si>
    <t>[0,0014972686767578125, 0,15420317649841309]</t>
  </si>
  <si>
    <t>[0,001996278762817383, 0,1562049388885498]</t>
  </si>
  <si>
    <t>[0,003993988037109375, 0,04940295219421387]</t>
  </si>
  <si>
    <t>[0,007485628128051758, 600,0081915855408]</t>
  </si>
  <si>
    <t>[0,007487297058105469, 600,0003106594086]</t>
  </si>
  <si>
    <t>[0,028944969177246094, 291,17594170570374]</t>
  </si>
  <si>
    <t>[0,04092216491699219, 600,0564332008362]</t>
  </si>
  <si>
    <t>[0,03842663764953613, 600,0002789497375]</t>
  </si>
  <si>
    <t>[0,21908330917358398, 600,0006670951843]</t>
  </si>
  <si>
    <t>[0,3004283905029297, 600,1662700176239]</t>
  </si>
  <si>
    <t>[0,26399683952331543, 600,0005049705505]</t>
  </si>
  <si>
    <t>[1,334463119506836, 600,0008664131165]</t>
  </si>
  <si>
    <t>[0,047910451889038086, 0,02744746208190918, 0,07236194610595703, 1,8759315013885498, 600,1065399646759]</t>
  </si>
  <si>
    <t>[0,05988717079162598, 0,02644968032836914, 0,1279146671295166, 313,23054909706116, 600,0008161067963]</t>
  </si>
  <si>
    <t>[1,10589599609375, 9,148759841918945, 600,0029656887054]</t>
  </si>
  <si>
    <t>[0,07285833358764648, 0,03792548179626465, 2,2567102909088135, 73,1683874130249, 600,1930224895477]</t>
  </si>
  <si>
    <t>[0,07685446739196777, 0,037927865982055664, 4,101202011108398, 600,0007798671722]</t>
  </si>
  <si>
    <t>[1,7474777698516846, 0,6512618064880371, 5,020728349685669, 600,001306772232]</t>
  </si>
  <si>
    <t>[0,20111680030822754, 0,0933220386505127, 2,0151686668395996, 2,0271449089050293, 600,3731069564819]</t>
  </si>
  <si>
    <t>[0,11109066009521484, 0,09791398048400879, 9,454025745391846, 45,55542349815369, 600,0008535385132]</t>
  </si>
  <si>
    <t>[2,7394216060638428, 0,8673501014709473, 109,02991318702698, 600,0034205913544]</t>
  </si>
  <si>
    <t>[0,28595471382141113, 1,6972763538360596, 1,8519794940948486, 2,22127628326416, 2,4129130840301514, 3,965459108352661, 600,5963182449341]</t>
  </si>
  <si>
    <t>[0,1490333080291748, 600,0016024112701]</t>
  </si>
  <si>
    <t>[4,161586761474609, 600,0518312454224]</t>
  </si>
  <si>
    <t>[0,37143826484680176, 0,14223265647888184, 2,6766934394836426, 2,8492400646209717, 29,302789449691772, 600,7541563510895]</t>
  </si>
  <si>
    <t>[0,1966252326965332, 0,14857268333435059, 3,044384002685547, 5,5215020179748535, 600,0019526481628]</t>
  </si>
  <si>
    <t>[6,147310256958008, 1,8180418014526367, 1,74967360496521, 15,21856689453125, 600,0018541812897]</t>
  </si>
  <si>
    <t>[0,5026743412017822, 3,0898449420928955, 142,6363115310669, 600,9800617694855]</t>
  </si>
  <si>
    <t>[0,5185120105743408, 7,562619924545288, 600,0028522014618]</t>
  </si>
  <si>
    <t>[8,53377366065979, 23,331141471862793, 600,0023512840271]</t>
  </si>
  <si>
    <t>[0,6924707889556885, 3,3904170989990234, 0,2696225643157959, 9,540812969207764, 121,68414568901062, 600,6206464767456]</t>
  </si>
  <si>
    <t>[0,3692972660064697, 6,636382102966309, 0,2611420154571533, 600,0034310817719]</t>
  </si>
  <si>
    <t>[11,564012289047241, 3,156001091003418, 206,18053317070007, 600,0029468536377]</t>
  </si>
  <si>
    <t>[0,002992391586303711, 0,0014967918395996094]</t>
  </si>
  <si>
    <t>[0,0029935836791992188, 0,001995086669921875]</t>
  </si>
  <si>
    <t>[0,023952722549438477]</t>
  </si>
  <si>
    <t>[0,004990339279174805, 0,002994060516357422, 0,257509708404541, 0,049906015396118164]</t>
  </si>
  <si>
    <t>[0,008484363555908203, 0,003493070602416992, 0,26000452041625977, 0,04940605163574219]</t>
  </si>
  <si>
    <t>[0,07036542892456055, 0,0304415225982666, 0,1936337947845459, 0,04990577697753906]</t>
  </si>
  <si>
    <t>[0,01447296142578125, 0,008481740951538086, 0,7770209312438965, 0,6676774024963379, 0,0004982948303222656]</t>
  </si>
  <si>
    <t>[0,011977672576904297, 0,008981943130493164, 0,6866950988769531, 0,8244318962097168, 0,0004978179931640625]</t>
  </si>
  <si>
    <t>[0,15470552444458008, 0,07735133171081543, 2,2492237091064453, 0,10491108894348145, 0,016467571258544922]</t>
  </si>
  <si>
    <t>[0,04042220115661621, 3,8862571716308594]</t>
  </si>
  <si>
    <t>[0,06088447570800781, 1,2593636512756348]</t>
  </si>
  <si>
    <t>[0,8451077938079834, 0,24503421783447266]</t>
  </si>
  <si>
    <t>[0,017465829849243164, 0,0219573974609375, 0,8184413909912109, 0,8658533096313477, 1,0413308143615723, 66,90034317970276, 600,0017721652985]</t>
  </si>
  <si>
    <t>[0,023453950881958008, 0,020958423614501953, 1,9158577919006348, 7,245226621627808, 0,9392135143280029, 600,0003507137299]</t>
  </si>
  <si>
    <t>[0,33186960220336914, 0,1222679615020752, 1,329970359802246, 21,058462142944336, 368,124635219574]</t>
  </si>
  <si>
    <t>[0,028448104858398438, 0,06986808776855469, 0,2001204490661621, 2,8625574111938477, 600,0503838062286]</t>
  </si>
  <si>
    <t>[0,029942989349365234, 0,03393387794494629, 0,17565679550170898, 600,0003216266632]</t>
  </si>
  <si>
    <t>[0,6183269023895264, 0,19762611389160156, 1,523104190826416, 600,0017783641815]</t>
  </si>
  <si>
    <t>[1,1697750091552734, 602,1024544239044]</t>
  </si>
  <si>
    <t>[1,1390135288238525, 600,0018117427826]</t>
  </si>
  <si>
    <t>[2,9334235191345215, 72,07942533493042]</t>
  </si>
  <si>
    <t>[2,1998190879821777, 602,0686616897583]</t>
  </si>
  <si>
    <t>[2,50946307182312, 600,0023853778839]</t>
  </si>
  <si>
    <t>[3,141024351119995, 0,36902928352355957]</t>
  </si>
  <si>
    <t>[2,259204387664795, 602,1439776420593]</t>
  </si>
  <si>
    <t>[2,2250008583068848, 600,0024034976959]</t>
  </si>
  <si>
    <t>[3,4046413898468018, 0,37927961349487305]</t>
  </si>
  <si>
    <t>Opt_trouvé</t>
  </si>
  <si>
    <t>Itérations</t>
  </si>
  <si>
    <t>Temps_par_ itération</t>
  </si>
  <si>
    <t>Couleurs_par_itération</t>
  </si>
  <si>
    <t>DS_Opt_trouvé</t>
  </si>
  <si>
    <t>DS_Itérations</t>
  </si>
  <si>
    <t>DS_Temps_par_ itération</t>
  </si>
  <si>
    <t>DS_Couleurs_par_itération</t>
  </si>
  <si>
    <t>FC_Opt_trouvé</t>
  </si>
  <si>
    <t>FC_Itérations</t>
  </si>
  <si>
    <t>FC_Temps_par_ itération</t>
  </si>
  <si>
    <t>FC_Couleurs_par_itération</t>
  </si>
  <si>
    <t>FC_AC_Opt_trouvé</t>
  </si>
  <si>
    <t>FC_AC_Itérations</t>
  </si>
  <si>
    <t>FC_AC_Temps_par_ itération</t>
  </si>
  <si>
    <t>FC_AC_Couleurs_par_itération</t>
  </si>
  <si>
    <t>DS_Tps_dernière_it</t>
  </si>
  <si>
    <t>FC_Tps_dernière_it</t>
  </si>
  <si>
    <t>FC_AC_Tps_dernière_it</t>
  </si>
  <si>
    <t>nb contraintes</t>
  </si>
  <si>
    <t>domaine max</t>
  </si>
  <si>
    <t>taille</t>
  </si>
  <si>
    <t>Temps dernière itération</t>
  </si>
  <si>
    <t>Nombre d'itérations</t>
  </si>
  <si>
    <t>Max clique</t>
  </si>
  <si>
    <t>FC_AC_30</t>
  </si>
  <si>
    <t>FC_AC_30_Opt_trouvé</t>
  </si>
  <si>
    <t>FC_AC_30_Temps</t>
  </si>
  <si>
    <t>FC_AC_30_Itérations</t>
  </si>
  <si>
    <t>FC_AC_30_Temps_par_ itération</t>
  </si>
  <si>
    <t>FC_AC_30_Tps_dernière_it</t>
  </si>
  <si>
    <t>FC_AC_30_Couleurs_par_itération</t>
  </si>
  <si>
    <t>FC_AC_30_Solution</t>
  </si>
  <si>
    <t>[129, 0]</t>
  </si>
  <si>
    <t>[78, 0]</t>
  </si>
  <si>
    <t>[998, 1585, 0]</t>
  </si>
  <si>
    <t>[994, 989, 1411, 0]</t>
  </si>
  <si>
    <t>[122, 3254, 0]</t>
  </si>
  <si>
    <t>[121, 0]</t>
  </si>
  <si>
    <t>[54, 53, 52, 51, 0]</t>
  </si>
  <si>
    <t>[97, 137, 4079, 416452, 0]</t>
  </si>
  <si>
    <t>[247, 193, 0]</t>
  </si>
  <si>
    <t>[244, 232, 2960, 0]</t>
  </si>
  <si>
    <t>[497, 425, 0]</t>
  </si>
  <si>
    <t>[453, 0]</t>
  </si>
  <si>
    <t>[425, 0]</t>
  </si>
  <si>
    <t>[400, 0]</t>
  </si>
  <si>
    <t>[112]</t>
  </si>
  <si>
    <t>[551, 0]</t>
  </si>
  <si>
    <t>[66, 0]</t>
  </si>
  <si>
    <t>[71]</t>
  </si>
  <si>
    <t>[436, 0]</t>
  </si>
  <si>
    <t>[427, 0]</t>
  </si>
  <si>
    <t>[428, 0]</t>
  </si>
  <si>
    <t>[446, 9571, 0]</t>
  </si>
  <si>
    <t>[446, 278, 0]</t>
  </si>
  <si>
    <t>[12, 11, 10, 0]</t>
  </si>
  <si>
    <t>[446, 332, 309809, 0]</t>
  </si>
  <si>
    <t>[446, 293, 15019, 11634, 19250, 34]</t>
  </si>
  <si>
    <t>[94, 0]</t>
  </si>
  <si>
    <t>[123, 0]</t>
  </si>
  <si>
    <t>[110, 0]</t>
  </si>
  <si>
    <t>[103, 0]</t>
  </si>
  <si>
    <t>[163, 0]</t>
  </si>
  <si>
    <t>[159, 0]</t>
  </si>
  <si>
    <t>[155, 0]</t>
  </si>
  <si>
    <t>[156, 0]</t>
  </si>
  <si>
    <t>[157, 0]</t>
  </si>
  <si>
    <t>[22, 0]</t>
  </si>
  <si>
    <t>[46, 0]</t>
  </si>
  <si>
    <t>[190, 0]</t>
  </si>
  <si>
    <t>[91, 9593, 0]</t>
  </si>
  <si>
    <t>[111, 115, 6867, 601744, 0]</t>
  </si>
  <si>
    <t>[133, 247, 134306, 0]</t>
  </si>
  <si>
    <t>[183, 187, 177, 9900, 0]</t>
  </si>
  <si>
    <t>[211, 42803, 0]</t>
  </si>
  <si>
    <t>[241, 235, 103808, 0]</t>
  </si>
  <si>
    <t>[21]</t>
  </si>
  <si>
    <t>[31, 42, 359, 0]</t>
  </si>
  <si>
    <t>[44, 95, 3948, 80, 0]</t>
  </si>
  <si>
    <t>[85, 58]</t>
  </si>
  <si>
    <t>[57, 43, 2140, 25366, 0]</t>
  </si>
  <si>
    <t>[73, 70, 1977, 0]</t>
  </si>
  <si>
    <t>[166, 0]</t>
  </si>
  <si>
    <t>[184, 0]</t>
  </si>
  <si>
    <t>[179, 0]</t>
  </si>
  <si>
    <t>[0,26484036445617676, 0,05823469161987305]</t>
  </si>
  <si>
    <t>[0,24085283279418945, 0,021988391876220703]</t>
  </si>
  <si>
    <t>[3,131667137145996, 3,4558050632476807, 600,0061166286469]</t>
  </si>
  <si>
    <t>[5,664164066314697, 3,0756161212921143, 3,881296396255493, 600,0128562450409]</t>
  </si>
  <si>
    <t>[0,1341533660888672, 0,7857465744018555, 0,009992122650146484]</t>
  </si>
  <si>
    <t>[0,028983354568481445, 0,0009992122650146484]</t>
  </si>
  <si>
    <t>[16,70528292655945, 6,140083312988281, 7,707961559295654, 226,65238523483276, 600,0009512901306]</t>
  </si>
  <si>
    <t>[0,24185419082641602, 0,15811443328857422, 600,0006670951843]</t>
  </si>
  <si>
    <t>[0,39298057556152344, 0,2171037197113037, 1,4258723258972168, 600,000453710556]</t>
  </si>
  <si>
    <t>[0,9419608116149902, 0,5349388122558594, 600,0140695571899]</t>
  </si>
  <si>
    <t>[57,565414905548096, 600,013525724411]</t>
  </si>
  <si>
    <t>[97,4367287158966, 644,4395146369934]</t>
  </si>
  <si>
    <t>[68,08715200424194, 635,4228599071503]</t>
  </si>
  <si>
    <t>[0,07495379447937012]</t>
  </si>
  <si>
    <t>[3,3164618015289307, 600,1181972026825]</t>
  </si>
  <si>
    <t>[0,09922266006469727, 0,01498866081237793]</t>
  </si>
  <si>
    <t>[0,05096888542175293]</t>
  </si>
  <si>
    <t>[5,577309608459473, 600,0034093856812]</t>
  </si>
  <si>
    <t>[4,004491090774536, 600,0065519809723]</t>
  </si>
  <si>
    <t>[9,099953651428223, 0,47700047492980957]</t>
  </si>
  <si>
    <t>[5,862215280532837, 0,5190024375915527]</t>
  </si>
  <si>
    <t>[1,363724946975708, 7,260363340377808, 600,0048294067383]</t>
  </si>
  <si>
    <t>[1,3909118175506592, 0,5268895626068115, 600,0037174224854]</t>
  </si>
  <si>
    <t>[3,183659315109253, 0,644869327545166, 376,02229166030884, 600,003559589386]</t>
  </si>
  <si>
    <t>[3,471583604812622, 0,4770054817199707, 18,273045301437378, 18,80822253227234, 38,34330105781555, 0,21412992477416992]</t>
  </si>
  <si>
    <t>[5,007445573806763, 3,2484240531921387]</t>
  </si>
  <si>
    <t>[9,122620344161987, 51,52868032455444]</t>
  </si>
  <si>
    <t>[0,06296062469482422, 0,009990692138671875]</t>
  </si>
  <si>
    <t>[0,40974903106689453, 0,1459062099456787]</t>
  </si>
  <si>
    <t>[1,6639986038208008, 0,786022424697876]</t>
  </si>
  <si>
    <t>[4,350470304489136, 600,000303030014]</t>
  </si>
  <si>
    <t>[2,0476574897766113, 1,8876566886901855]</t>
  </si>
  <si>
    <t>[2,0058510303497314, 1,6736664772033691]</t>
  </si>
  <si>
    <t>[2,0866425037384033, 1,6706955432891846]</t>
  </si>
  <si>
    <t>[2,2125661373138428, 2,017782211303711]</t>
  </si>
  <si>
    <t>[0,002997875213623047, 0,03597664833068848]</t>
  </si>
  <si>
    <t>[0,016989707946777344, 193,68427395820618]</t>
  </si>
  <si>
    <t>[0,1269218921661377, 600,0000848770142]</t>
  </si>
  <si>
    <t>[1,0108158588409424, 600,0001177787781]</t>
  </si>
  <si>
    <t>[0,4159359931945801, 3,835545301437378, 600,0000030994415]</t>
  </si>
  <si>
    <t>[0,8269734382629395, 0,2801036834716797, 2,3923559188842773, 316,68077754974365, 600,0014514923096]</t>
  </si>
  <si>
    <t>[0,8830077648162842, 0,3679695129394531, 59,21950101852417, 600,0008625984192]</t>
  </si>
  <si>
    <t>[1,6608271598815918, 600,0010187625885]</t>
  </si>
  <si>
    <t>[1,7906177043914795, 0,6747908592224121, 0,6820101737976074, 6,019125699996948, 600,0016388893127]</t>
  </si>
  <si>
    <t>[3,2174556255340576, 14,29905891418457, 600,0025415420532]</t>
  </si>
  <si>
    <t>[3,8945837020874023, 1,1637811660766602, 95,19410228729248, 600,0022120475769]</t>
  </si>
  <si>
    <t>[0,014992713928222656]</t>
  </si>
  <si>
    <t>[0,04297208786010742, 0,015986204147338867, 0,07720088958740234, 0,022984981536865234]</t>
  </si>
  <si>
    <t>[0,07495403289794922, 0,0809476375579834, 0,8609185218811035, 0,04197287559509277, 0,0179898738861084]</t>
  </si>
  <si>
    <t>[0,43795228004455566, 0,13091754913330078]</t>
  </si>
  <si>
    <t>[0,14114904403686523, 0,055962324142456055, 0,7500083446502686, 6,5594096183776855, 80,9494743347168]</t>
  </si>
  <si>
    <t>[0,2988169193267822, 0,09793758392333984, 0,6010851860046387, 600,0003833770752]</t>
  </si>
  <si>
    <t>[2,485856294631958, 35,20615744590759]</t>
  </si>
  <si>
    <t>[2,4427027702331543, 0,40496301651000977]</t>
  </si>
  <si>
    <t>[2,2994868755340576, 0,4069693088531494]</t>
  </si>
  <si>
    <t>FC_AC_30_Noeuds_par_itération</t>
  </si>
  <si>
    <t>FC_AC_30_dist_opt</t>
  </si>
  <si>
    <t>FC_AC_30_Noeuds</t>
  </si>
  <si>
    <t>FC_AC_30_Echecs</t>
  </si>
  <si>
    <t>FC_AC_30_Temps BR</t>
  </si>
  <si>
    <t>FC_AC_30_Temps AC</t>
  </si>
  <si>
    <t>FC_AC_30_Temps FC</t>
  </si>
  <si>
    <t>FC_AC_30_sans_clique</t>
  </si>
  <si>
    <t>FC_AC_30_sans_clique_Solution</t>
  </si>
  <si>
    <t>FC_AC_30_sans_clique_dist_opt</t>
  </si>
  <si>
    <t>FC_AC_30_sans_clique_Temps</t>
  </si>
  <si>
    <t>FC_AC_30_sans_clique_Noeuds</t>
  </si>
  <si>
    <t>FC_AC_30_sans_clique_Echecs</t>
  </si>
  <si>
    <t>FC_AC_30_sans_clique_Temps BR</t>
  </si>
  <si>
    <t>FC_AC_30_sans_clique_Temps AC</t>
  </si>
  <si>
    <t>FC_AC_30_sans_clique_Temps FC</t>
  </si>
  <si>
    <t>FC + AC de tps en tps 2</t>
  </si>
  <si>
    <t>FC + AC de tps en tps 30</t>
  </si>
  <si>
    <t>FC_AC_30_sans_clique_Opt_trouvé</t>
  </si>
  <si>
    <t>FC_AC_30_sans_clique_Itérations</t>
  </si>
  <si>
    <t>FC_AC_30_sans_clique_Temps_par_ itération</t>
  </si>
  <si>
    <t>FC_AC_30_sans_clique_Tps_dernière_it</t>
  </si>
  <si>
    <t>FC_AC_30_sans_clique_Couleurs_par_itération</t>
  </si>
  <si>
    <t>FC_AC_30_sans_clique_Noeuds_par_itération</t>
  </si>
  <si>
    <t>[9, 0]</t>
  </si>
  <si>
    <t>[562, 0]</t>
  </si>
  <si>
    <t>[75, 0]</t>
  </si>
  <si>
    <t>[81, 0]</t>
  </si>
  <si>
    <t>[451, 40625, 0]</t>
  </si>
  <si>
    <t>[451, 0]</t>
  </si>
  <si>
    <t>[451, 342, 0]</t>
  </si>
  <si>
    <t>[451, 428, 0]</t>
  </si>
  <si>
    <t>[451, 23289, 0]</t>
  </si>
  <si>
    <t>[198, 0]</t>
  </si>
  <si>
    <t>[189, 0]</t>
  </si>
  <si>
    <t>[185, 0]</t>
  </si>
  <si>
    <t>[186, 0]</t>
  </si>
  <si>
    <t>[187, 0]</t>
  </si>
  <si>
    <t>[12, 0]</t>
  </si>
  <si>
    <t>[24, 0]</t>
  </si>
  <si>
    <t>[48, 0]</t>
  </si>
  <si>
    <t>[96, 0]</t>
  </si>
  <si>
    <t>[192, 0]</t>
  </si>
  <si>
    <t>[101, 9603, 0]</t>
  </si>
  <si>
    <t>[122, 126, 6878, 601755, 0]</t>
  </si>
  <si>
    <t>[145, 259, 134318, 0]</t>
  </si>
  <si>
    <t>[170, 0]</t>
  </si>
  <si>
    <t>[197, 201, 191, 9914, 0]</t>
  </si>
  <si>
    <t>[226, 65784, 2148, 0]</t>
  </si>
  <si>
    <t>[24, 23, 22, 0]</t>
  </si>
  <si>
    <t>[257, 863, 7523, 0]</t>
  </si>
  <si>
    <t>[26, 0]</t>
  </si>
  <si>
    <t>[37, 48, 365, 0]</t>
  </si>
  <si>
    <t>[50, 151, 145, 21, 0]</t>
  </si>
  <si>
    <t>[97, 69, 0]</t>
  </si>
  <si>
    <t>[65, 51, 2148, 25374, 0]</t>
  </si>
  <si>
    <t>[82, 79, 1986, 0]</t>
  </si>
  <si>
    <t>[212, 0]</t>
  </si>
  <si>
    <t>[207, 0]</t>
  </si>
  <si>
    <t>[501, 0]</t>
  </si>
  <si>
    <t>[0,07095789909362793, 600,0003342628479]</t>
  </si>
  <si>
    <t>[3,2215332984924316, 600,0032978057861]</t>
  </si>
  <si>
    <t>[0,08821296691894531, 600,0009813308716]</t>
  </si>
  <si>
    <t>[0,36507296562194824, 600,0003142356873]</t>
  </si>
  <si>
    <t>[4,340619087219238, 30,80263638496399, 600,0037267208099]</t>
  </si>
  <si>
    <t>[3,265749454498291, 600,0065128803253]</t>
  </si>
  <si>
    <t>[4,702404737472534, 600,0024230480194]</t>
  </si>
  <si>
    <t>[5,2842018604278564, 600,0015103816986]</t>
  </si>
  <si>
    <t>[1,3419570922851562, 0,3670053482055664, 600,0031306743622]</t>
  </si>
  <si>
    <t>[1,5498554706573486, 0,4609377384185791, 600,0030033588409]</t>
  </si>
  <si>
    <t>[3,3835408687591553, 600,0041346549988]</t>
  </si>
  <si>
    <t>[3,4247634410858154, 34,05735778808594, 600,0540428161621]</t>
  </si>
  <si>
    <t>[1,662825345993042, 600,0013360977173]</t>
  </si>
  <si>
    <t>[3,820723295211792, 600,0385341644287]</t>
  </si>
  <si>
    <t>[0,05296921730041504, 600,0000851154327]</t>
  </si>
  <si>
    <t>[0,24285149574279785, 600,0005700588226]</t>
  </si>
  <si>
    <t>[0,9079322814941406, 600,00190782547]</t>
  </si>
  <si>
    <t>[1,4829044342041016, 600,0026617050171]</t>
  </si>
  <si>
    <t>[2,5097227096557617, 600,001128911972]</t>
  </si>
  <si>
    <t>[1,3625993728637695, 600,0000178813934]</t>
  </si>
  <si>
    <t>[1,3759982585906982, 600,0010499954224]</t>
  </si>
  <si>
    <t>[1,3930160999298096, 600,0007255077362]</t>
  </si>
  <si>
    <t>[0,0019981861114501953, 0,002997875213623047]</t>
  </si>
  <si>
    <t>[0,001998424530029297, 0,542933464050293]</t>
  </si>
  <si>
    <t>[0,24784588813781738, 600,0004823207855]</t>
  </si>
  <si>
    <t>[0,3381228446960449, 600,0009808540344]</t>
  </si>
  <si>
    <t>[0,623894214630127, 600,0003843307495]</t>
  </si>
  <si>
    <t>[0,2440659999847412, 3,619586944580078, 600,0001223087311]</t>
  </si>
  <si>
    <t>[0,38203930854797363, 0,1741619110107422, 2,7586636543273926, 255,1569104194641, 600,0007982254028]</t>
  </si>
  <si>
    <t>[0,5599081516265869, 0,27382946014404297, 50,83436179161072, 600,0007610321045]</t>
  </si>
  <si>
    <t>[0,9219515323638916, 600,0018742084503]</t>
  </si>
  <si>
    <t>[1,4146733283996582, 0,44998764991760254, 0,4389646053314209, 6,287939548492432, 600,0030469894409]</t>
  </si>
  <si>
    <t>[1,4858551025390625, 27,07430601119995, 1,5269474983215332, 600,0027101039886]</t>
  </si>
  <si>
    <t>[2,1866455078125, 1,1081838607788086, 7,593125581741333, 600,0034875869751]</t>
  </si>
  <si>
    <t>[0,009995698928833008, 0,003997325897216797]</t>
  </si>
  <si>
    <t>[0,021989107131958008, 0,010990142822265625, 0,0689554214477539, 7,59912109375]</t>
  </si>
  <si>
    <t>[0,05317211151123047, 0,05096578598022461, 0,03797602653503418, 0,017989397048950195, 0,15690398216247559]</t>
  </si>
  <si>
    <t>[0,20487499237060547, 0,11692261695861816, 600,0015516281128]</t>
  </si>
  <si>
    <t>[0,08194971084594727, 0,040971994400024414, 0,6001150608062744, 11,438524007797241, 600,0001225471497]</t>
  </si>
  <si>
    <t>[0,2521481513977051, 0,08095097541809082, 0,6781151294708252, 600,0006246566772]</t>
  </si>
  <si>
    <t>[1,5017476081848145, 600,0019664764404]</t>
  </si>
  <si>
    <t>[1,432905673980713, 600,001626253128]</t>
  </si>
  <si>
    <t>[2,300795316696167, 600,0011587142944]</t>
  </si>
  <si>
    <t>[2,0250072479248047, 600,0013213157654]</t>
  </si>
  <si>
    <t>[0,8959667682647705]</t>
  </si>
  <si>
    <t>[488]</t>
  </si>
  <si>
    <t>instance dont l'op est connu, par taille croissante</t>
  </si>
  <si>
    <t>FC_AC 2</t>
  </si>
  <si>
    <t>nb nœuds</t>
  </si>
  <si>
    <t>FC_AC_2</t>
  </si>
  <si>
    <t>nœuds</t>
  </si>
  <si>
    <t>nœud</t>
  </si>
  <si>
    <t>[0,2670865058898926, 600,0003342628479]</t>
  </si>
  <si>
    <t>[139, 0]</t>
  </si>
  <si>
    <t>[0,1549060344696045, 600,0003356933594]</t>
  </si>
  <si>
    <t>[88, 0]</t>
  </si>
  <si>
    <t>[3,624764919281006, 600,0106058120728]</t>
  </si>
  <si>
    <t>[1001, 0]</t>
  </si>
  <si>
    <t>[5,5372021198272705, 3,5118536949157715, 5,34339714050293, 600,055860042572]</t>
  </si>
  <si>
    <t>[1001, 987, 1944, 0]</t>
  </si>
  <si>
    <t>[0,059964656829833984, 34,270331382751465, 0,5358469486236572]</t>
  </si>
  <si>
    <t>[126, 160010, 0]</t>
  </si>
  <si>
    <t>[0,029982566833496094, 0,028192520141601562]</t>
  </si>
  <si>
    <t>[126, 0]</t>
  </si>
  <si>
    <t>[3,049745798110962, 3,847263813018799, 600,0012831687927]</t>
  </si>
  <si>
    <t>[52, 51, 0]</t>
  </si>
  <si>
    <t>[126, 4641, 0]</t>
  </si>
  <si>
    <t>[0,22910308837890625, 554,7017385959625, 600,0009098052979]</t>
  </si>
  <si>
    <t>[251, 1590262, 0]</t>
  </si>
  <si>
    <t>[0,24585270881652832, 0,39496302604675293, 106,62911343574524, 600,0009763240814]</t>
  </si>
  <si>
    <t>[251, 815, 237545, 0]</t>
  </si>
  <si>
    <t>[1,2377073764801025, 12,76448106765747, 600,0011534690857]</t>
  </si>
  <si>
    <t>[501, 17549, 0]</t>
  </si>
  <si>
    <t>[34,1124062538147, 635,19629073143]</t>
  </si>
  <si>
    <t>[85,64412426948547, 606,5789892673492]</t>
  </si>
  <si>
    <t>[84,7464804649353, 625,5661919116974]</t>
  </si>
  <si>
    <t>[497, 0]</t>
  </si>
  <si>
    <t>[452, 0]</t>
  </si>
  <si>
    <t>[426, 0]</t>
  </si>
  <si>
    <r>
      <t xml:space="preserve">FC + AC de tps en tps </t>
    </r>
    <r>
      <rPr>
        <b/>
        <sz val="11"/>
        <color theme="1"/>
        <rFont val="Calibri"/>
        <family val="2"/>
        <scheme val="minor"/>
      </rPr>
      <t>sans</t>
    </r>
    <r>
      <rPr>
        <sz val="11"/>
        <color theme="1"/>
        <rFont val="Calibri"/>
        <family val="2"/>
        <scheme val="minor"/>
      </rPr>
      <t xml:space="preserve"> clique 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</si>
</sst>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Pourcentage" xfId="1" builtinId="5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3" formatCode="0%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sat'!$M$3:$M$46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6-467B-936F-56B825CE5801}"/>
            </c:ext>
          </c:extLst>
        </c:ser>
        <c:ser>
          <c:idx val="1"/>
          <c:order val="1"/>
          <c:tx>
            <c:strRef>
              <c:f>'analyse sat'!$N$2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sat'!$N$3:$N$46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6-467B-936F-56B825CE5801}"/>
            </c:ext>
          </c:extLst>
        </c:ser>
        <c:ser>
          <c:idx val="2"/>
          <c:order val="2"/>
          <c:tx>
            <c:strRef>
              <c:f>'analyse sat'!$O$2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sat'!$O$3:$O$46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6-467B-936F-56B825CE5801}"/>
            </c:ext>
          </c:extLst>
        </c:ser>
        <c:ser>
          <c:idx val="3"/>
          <c:order val="3"/>
          <c:tx>
            <c:strRef>
              <c:f>'analyse sat'!$P$2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sat'!$P$3:$P$46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6-467B-936F-56B825CE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sat'!$Z$2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sat'!$Z$3:$Z$60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C-4119-919C-8D0DAA87C843}"/>
            </c:ext>
          </c:extLst>
        </c:ser>
        <c:ser>
          <c:idx val="2"/>
          <c:order val="1"/>
          <c:tx>
            <c:strRef>
              <c:f>'analyse sat'!$AB$2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sat'!$AB$3:$AB$60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  <c:pt idx="5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C-4119-919C-8D0DAA87C843}"/>
            </c:ext>
          </c:extLst>
        </c:ser>
        <c:ser>
          <c:idx val="3"/>
          <c:order val="2"/>
          <c:tx>
            <c:strRef>
              <c:f>'analyse sat'!$AC$2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sat'!$AC$3:$AC$60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DC-4119-919C-8D0DAA87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sat'!$AF$2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sat'!$AF$3:$AF$62</c:f>
              <c:numCache>
                <c:formatCode>General</c:formatCode>
                <c:ptCount val="60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7-425F-8897-BE0617B1985D}"/>
            </c:ext>
          </c:extLst>
        </c:ser>
        <c:ser>
          <c:idx val="1"/>
          <c:order val="1"/>
          <c:tx>
            <c:strRef>
              <c:f>'analyse sat'!$AG$2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sat'!$AG$3:$AG$62</c:f>
              <c:numCache>
                <c:formatCode>General</c:formatCode>
                <c:ptCount val="60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7-425F-8897-BE0617B1985D}"/>
            </c:ext>
          </c:extLst>
        </c:ser>
        <c:ser>
          <c:idx val="2"/>
          <c:order val="2"/>
          <c:tx>
            <c:strRef>
              <c:f>'analyse sat'!$AH$2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sat'!$AH$3:$AH$62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7-425F-8897-BE0617B1985D}"/>
            </c:ext>
          </c:extLst>
        </c:ser>
        <c:ser>
          <c:idx val="3"/>
          <c:order val="3"/>
          <c:tx>
            <c:strRef>
              <c:f>'analyse sat'!$AI$2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sat'!$AI$3:$AI$62</c:f>
              <c:numCache>
                <c:formatCode>General</c:formatCode>
                <c:ptCount val="6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33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49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7-425F-8897-BE0617B1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opti'!$W$2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opti'!$W$3:$W$33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2-4946-B612-AED91BBC2FF9}"/>
            </c:ext>
          </c:extLst>
        </c:ser>
        <c:ser>
          <c:idx val="1"/>
          <c:order val="1"/>
          <c:tx>
            <c:strRef>
              <c:f>'analyse opti'!$X$2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opti'!$X$3:$X$33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2-4946-B612-AED91BBC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5023"/>
        <c:axId val="2032355551"/>
      </c:scatterChart>
      <c:valAx>
        <c:axId val="20394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355551"/>
        <c:crosses val="autoZero"/>
        <c:crossBetween val="midCat"/>
      </c:valAx>
      <c:valAx>
        <c:axId val="2032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4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opti'!$B$3:$B$55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58D-8BC4-3DB63450F89D}"/>
            </c:ext>
          </c:extLst>
        </c:ser>
        <c:ser>
          <c:idx val="1"/>
          <c:order val="1"/>
          <c:tx>
            <c:strRef>
              <c:f>'analyse opti'!$C$2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opti'!$C$3:$C$55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2-458D-8BC4-3DB63450F89D}"/>
            </c:ext>
          </c:extLst>
        </c:ser>
        <c:ser>
          <c:idx val="2"/>
          <c:order val="2"/>
          <c:tx>
            <c:strRef>
              <c:f>'analyse opti'!$E$2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opti'!$E$3:$E$55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2-458D-8BC4-3DB63450F89D}"/>
            </c:ext>
          </c:extLst>
        </c:ser>
        <c:ser>
          <c:idx val="3"/>
          <c:order val="3"/>
          <c:tx>
            <c:strRef>
              <c:f>'analyse opti'!$D$2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opti'!$D$3:$D$55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3-4E52-B532-22CE8D0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opti'!$I$2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opti'!$I$3:$I$60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5">
                  <c:v>600.000310659408</c:v>
                </c:pt>
                <c:pt idx="6">
                  <c:v>600.00082755088795</c:v>
                </c:pt>
                <c:pt idx="7">
                  <c:v>4.9406051635742097E-2</c:v>
                </c:pt>
                <c:pt idx="8">
                  <c:v>2.79467105865478E-2</c:v>
                </c:pt>
                <c:pt idx="9">
                  <c:v>600.00893783569302</c:v>
                </c:pt>
                <c:pt idx="10">
                  <c:v>0.747933149337768</c:v>
                </c:pt>
                <c:pt idx="11">
                  <c:v>600.00044918060303</c:v>
                </c:pt>
                <c:pt idx="12">
                  <c:v>600.00024342536904</c:v>
                </c:pt>
                <c:pt idx="13">
                  <c:v>4.9781799316406196E-4</c:v>
                </c:pt>
                <c:pt idx="14">
                  <c:v>600.00058674812306</c:v>
                </c:pt>
                <c:pt idx="15">
                  <c:v>600.00035071372895</c:v>
                </c:pt>
                <c:pt idx="16">
                  <c:v>600.00082445144596</c:v>
                </c:pt>
                <c:pt idx="17">
                  <c:v>600.00375723838795</c:v>
                </c:pt>
                <c:pt idx="18">
                  <c:v>0.78700375556945801</c:v>
                </c:pt>
                <c:pt idx="19">
                  <c:v>600.00027894973698</c:v>
                </c:pt>
                <c:pt idx="20">
                  <c:v>600.00032162666298</c:v>
                </c:pt>
                <c:pt idx="21">
                  <c:v>1.2593636512756301</c:v>
                </c:pt>
                <c:pt idx="22">
                  <c:v>600.00077843665997</c:v>
                </c:pt>
                <c:pt idx="23">
                  <c:v>600.00081610679604</c:v>
                </c:pt>
                <c:pt idx="24">
                  <c:v>600.00135254859902</c:v>
                </c:pt>
                <c:pt idx="25">
                  <c:v>600.00024318695</c:v>
                </c:pt>
                <c:pt idx="26">
                  <c:v>600.05048632621697</c:v>
                </c:pt>
                <c:pt idx="27">
                  <c:v>600.00077986717201</c:v>
                </c:pt>
                <c:pt idx="28">
                  <c:v>600.00085353851296</c:v>
                </c:pt>
                <c:pt idx="29">
                  <c:v>600.03478670120205</c:v>
                </c:pt>
                <c:pt idx="30">
                  <c:v>600.00604081153801</c:v>
                </c:pt>
                <c:pt idx="31">
                  <c:v>600.00079083442597</c:v>
                </c:pt>
                <c:pt idx="32">
                  <c:v>600.00160241127003</c:v>
                </c:pt>
                <c:pt idx="33">
                  <c:v>600.00050497054997</c:v>
                </c:pt>
                <c:pt idx="34">
                  <c:v>600.00195264816205</c:v>
                </c:pt>
                <c:pt idx="35">
                  <c:v>600.00274729728699</c:v>
                </c:pt>
                <c:pt idx="36">
                  <c:v>600.002852201461</c:v>
                </c:pt>
                <c:pt idx="37">
                  <c:v>600.00181174278202</c:v>
                </c:pt>
                <c:pt idx="38">
                  <c:v>600.00078296661297</c:v>
                </c:pt>
                <c:pt idx="39">
                  <c:v>600.00523543357804</c:v>
                </c:pt>
                <c:pt idx="40">
                  <c:v>600.00343108177105</c:v>
                </c:pt>
                <c:pt idx="41">
                  <c:v>600.036569595336</c:v>
                </c:pt>
                <c:pt idx="42">
                  <c:v>600.00188612937905</c:v>
                </c:pt>
                <c:pt idx="43">
                  <c:v>600.00240349769501</c:v>
                </c:pt>
                <c:pt idx="44">
                  <c:v>600.002385377883</c:v>
                </c:pt>
                <c:pt idx="45">
                  <c:v>600.00732374191205</c:v>
                </c:pt>
                <c:pt idx="46">
                  <c:v>600.00077772140503</c:v>
                </c:pt>
                <c:pt idx="47">
                  <c:v>600.00499057769696</c:v>
                </c:pt>
                <c:pt idx="48">
                  <c:v>600.00081348419099</c:v>
                </c:pt>
                <c:pt idx="49">
                  <c:v>600.00052928924504</c:v>
                </c:pt>
                <c:pt idx="50">
                  <c:v>600.00107645988396</c:v>
                </c:pt>
                <c:pt idx="51">
                  <c:v>600.00173902511597</c:v>
                </c:pt>
                <c:pt idx="52">
                  <c:v>600.00144743919304</c:v>
                </c:pt>
                <c:pt idx="53">
                  <c:v>600.00185394287098</c:v>
                </c:pt>
                <c:pt idx="54">
                  <c:v>600.06738114356995</c:v>
                </c:pt>
                <c:pt idx="55">
                  <c:v>600.290383338928</c:v>
                </c:pt>
                <c:pt idx="56">
                  <c:v>600.00128197669903</c:v>
                </c:pt>
                <c:pt idx="57">
                  <c:v>600.00243091583195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6C6-B2C0-D71388DF3436}"/>
            </c:ext>
          </c:extLst>
        </c:ser>
        <c:ser>
          <c:idx val="1"/>
          <c:order val="1"/>
          <c:tx>
            <c:strRef>
              <c:f>'analyse opti'!$J$2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opti'!$J$3:$J$60</c:f>
              <c:numCache>
                <c:formatCode>General</c:formatCode>
                <c:ptCount val="58"/>
                <c:pt idx="0">
                  <c:v>0</c:v>
                </c:pt>
                <c:pt idx="1">
                  <c:v>9.9802017211913997E-4</c:v>
                </c:pt>
                <c:pt idx="2">
                  <c:v>4.9402952194213798E-2</c:v>
                </c:pt>
                <c:pt idx="3">
                  <c:v>1.4970302581787101E-3</c:v>
                </c:pt>
                <c:pt idx="4">
                  <c:v>2.39527225494384E-2</c:v>
                </c:pt>
                <c:pt idx="5">
                  <c:v>291.175941705703</c:v>
                </c:pt>
                <c:pt idx="6">
                  <c:v>1.09808444976806E-2</c:v>
                </c:pt>
                <c:pt idx="7">
                  <c:v>4.9905776977539E-2</c:v>
                </c:pt>
                <c:pt idx="8">
                  <c:v>0.13798761367797799</c:v>
                </c:pt>
                <c:pt idx="9">
                  <c:v>600.035534381866</c:v>
                </c:pt>
                <c:pt idx="10">
                  <c:v>0.918753862380981</c:v>
                </c:pt>
                <c:pt idx="11">
                  <c:v>1.4471530914306601E-2</c:v>
                </c:pt>
                <c:pt idx="12">
                  <c:v>9.2826128005981404E-2</c:v>
                </c:pt>
                <c:pt idx="13">
                  <c:v>1.6467571258544901E-2</c:v>
                </c:pt>
                <c:pt idx="14">
                  <c:v>600.00122094154301</c:v>
                </c:pt>
                <c:pt idx="15">
                  <c:v>368.12463521957397</c:v>
                </c:pt>
                <c:pt idx="16">
                  <c:v>600.00405144691399</c:v>
                </c:pt>
                <c:pt idx="17">
                  <c:v>600.002039909362</c:v>
                </c:pt>
                <c:pt idx="18">
                  <c:v>1.3972759246826101E-2</c:v>
                </c:pt>
                <c:pt idx="19">
                  <c:v>600.00066709518399</c:v>
                </c:pt>
                <c:pt idx="20">
                  <c:v>600.00177836418095</c:v>
                </c:pt>
                <c:pt idx="21">
                  <c:v>0.24503421783447199</c:v>
                </c:pt>
                <c:pt idx="22">
                  <c:v>0.116087198257446</c:v>
                </c:pt>
                <c:pt idx="23">
                  <c:v>600.00296568870499</c:v>
                </c:pt>
                <c:pt idx="24">
                  <c:v>2.5950193405151301E-2</c:v>
                </c:pt>
                <c:pt idx="25">
                  <c:v>2.3956298828125E-2</c:v>
                </c:pt>
                <c:pt idx="26">
                  <c:v>600.00324225425697</c:v>
                </c:pt>
                <c:pt idx="27">
                  <c:v>600.00130677223206</c:v>
                </c:pt>
                <c:pt idx="28">
                  <c:v>600.00342059135403</c:v>
                </c:pt>
                <c:pt idx="29">
                  <c:v>600.00587916374195</c:v>
                </c:pt>
                <c:pt idx="30">
                  <c:v>600.004887342453</c:v>
                </c:pt>
                <c:pt idx="31">
                  <c:v>2.0066831111907901</c:v>
                </c:pt>
                <c:pt idx="32">
                  <c:v>600.05183124542202</c:v>
                </c:pt>
                <c:pt idx="33">
                  <c:v>600.000866413116</c:v>
                </c:pt>
                <c:pt idx="34">
                  <c:v>600.00185418128899</c:v>
                </c:pt>
                <c:pt idx="35">
                  <c:v>600.00388216972306</c:v>
                </c:pt>
                <c:pt idx="36">
                  <c:v>600.00235128402699</c:v>
                </c:pt>
                <c:pt idx="37">
                  <c:v>72.079425334930406</c:v>
                </c:pt>
                <c:pt idx="38">
                  <c:v>38.7822649478912</c:v>
                </c:pt>
                <c:pt idx="39">
                  <c:v>600.00573396682705</c:v>
                </c:pt>
                <c:pt idx="40">
                  <c:v>600.00294685363701</c:v>
                </c:pt>
                <c:pt idx="41">
                  <c:v>0.44627714157104398</c:v>
                </c:pt>
                <c:pt idx="42">
                  <c:v>600.00883889198303</c:v>
                </c:pt>
                <c:pt idx="43">
                  <c:v>0.37927961349487299</c:v>
                </c:pt>
                <c:pt idx="44">
                  <c:v>0.36902928352355902</c:v>
                </c:pt>
                <c:pt idx="45">
                  <c:v>600.00588393211297</c:v>
                </c:pt>
                <c:pt idx="46">
                  <c:v>600.02833485603298</c:v>
                </c:pt>
                <c:pt idx="47">
                  <c:v>600.00360202789295</c:v>
                </c:pt>
                <c:pt idx="48">
                  <c:v>1.42628645896911</c:v>
                </c:pt>
                <c:pt idx="49">
                  <c:v>1.78560447692871</c:v>
                </c:pt>
                <c:pt idx="50">
                  <c:v>1.48881387710571</c:v>
                </c:pt>
                <c:pt idx="51">
                  <c:v>1.7152409553527801</c:v>
                </c:pt>
                <c:pt idx="52">
                  <c:v>600.00054216384797</c:v>
                </c:pt>
                <c:pt idx="53">
                  <c:v>0.450643301010131</c:v>
                </c:pt>
                <c:pt idx="54">
                  <c:v>0.42369389533996499</c:v>
                </c:pt>
                <c:pt idx="55">
                  <c:v>600.00917315483002</c:v>
                </c:pt>
                <c:pt idx="56">
                  <c:v>600.00300908088605</c:v>
                </c:pt>
                <c:pt idx="57">
                  <c:v>600.00302171707096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6C6-B2C0-D71388DF3436}"/>
            </c:ext>
          </c:extLst>
        </c:ser>
        <c:ser>
          <c:idx val="2"/>
          <c:order val="2"/>
          <c:tx>
            <c:strRef>
              <c:f>'analyse opti'!$L$2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opti'!$L$3:$L$60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5">
                  <c:v>600.00819158553998</c:v>
                </c:pt>
                <c:pt idx="6">
                  <c:v>600.27410411834705</c:v>
                </c:pt>
                <c:pt idx="7">
                  <c:v>4.9906015396118102E-2</c:v>
                </c:pt>
                <c:pt idx="8">
                  <c:v>3.2437086105346603E-2</c:v>
                </c:pt>
                <c:pt idx="9">
                  <c:v>600.04132962226799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4">
                  <c:v>600.07521581649701</c:v>
                </c:pt>
                <c:pt idx="15">
                  <c:v>600.00177216529801</c:v>
                </c:pt>
                <c:pt idx="16">
                  <c:v>600.02403354644696</c:v>
                </c:pt>
                <c:pt idx="17">
                  <c:v>600.09275841712895</c:v>
                </c:pt>
                <c:pt idx="18">
                  <c:v>0.90428185462951605</c:v>
                </c:pt>
                <c:pt idx="19">
                  <c:v>600.05643320083595</c:v>
                </c:pt>
                <c:pt idx="20">
                  <c:v>600.05038380622796</c:v>
                </c:pt>
                <c:pt idx="21">
                  <c:v>3.88625717163085</c:v>
                </c:pt>
                <c:pt idx="22">
                  <c:v>601.17205238342206</c:v>
                </c:pt>
                <c:pt idx="23">
                  <c:v>600.10653996467499</c:v>
                </c:pt>
                <c:pt idx="24">
                  <c:v>600.91414427757195</c:v>
                </c:pt>
                <c:pt idx="25">
                  <c:v>600.13222146034195</c:v>
                </c:pt>
                <c:pt idx="26">
                  <c:v>600.20346665382306</c:v>
                </c:pt>
                <c:pt idx="27">
                  <c:v>600.19302248954705</c:v>
                </c:pt>
                <c:pt idx="28">
                  <c:v>600.37310695648102</c:v>
                </c:pt>
                <c:pt idx="29">
                  <c:v>600.29022860527004</c:v>
                </c:pt>
                <c:pt idx="30">
                  <c:v>600.27779865264802</c:v>
                </c:pt>
                <c:pt idx="31">
                  <c:v>602.358385086059</c:v>
                </c:pt>
                <c:pt idx="32">
                  <c:v>600.59631824493397</c:v>
                </c:pt>
                <c:pt idx="33">
                  <c:v>600.16627001762299</c:v>
                </c:pt>
                <c:pt idx="34">
                  <c:v>600.75415635108902</c:v>
                </c:pt>
                <c:pt idx="35">
                  <c:v>600.80558609962395</c:v>
                </c:pt>
                <c:pt idx="36">
                  <c:v>600.98006176948502</c:v>
                </c:pt>
                <c:pt idx="37">
                  <c:v>602.10245442390396</c:v>
                </c:pt>
                <c:pt idx="38">
                  <c:v>603.44219565391495</c:v>
                </c:pt>
                <c:pt idx="39">
                  <c:v>600.20188379287697</c:v>
                </c:pt>
                <c:pt idx="40">
                  <c:v>600.62064647674504</c:v>
                </c:pt>
                <c:pt idx="41">
                  <c:v>600.70428371429398</c:v>
                </c:pt>
                <c:pt idx="42">
                  <c:v>604.61383175849903</c:v>
                </c:pt>
                <c:pt idx="43">
                  <c:v>602.14397764205899</c:v>
                </c:pt>
                <c:pt idx="44">
                  <c:v>602.06866168975796</c:v>
                </c:pt>
                <c:pt idx="45">
                  <c:v>600.74620985984802</c:v>
                </c:pt>
                <c:pt idx="46">
                  <c:v>600.67033243179299</c:v>
                </c:pt>
                <c:pt idx="47">
                  <c:v>600.79695272445599</c:v>
                </c:pt>
                <c:pt idx="48">
                  <c:v>601.59243249893098</c:v>
                </c:pt>
                <c:pt idx="49">
                  <c:v>601.60929727554299</c:v>
                </c:pt>
                <c:pt idx="50">
                  <c:v>601.60841202735901</c:v>
                </c:pt>
                <c:pt idx="51">
                  <c:v>604.28568577766396</c:v>
                </c:pt>
                <c:pt idx="52">
                  <c:v>604.158576726913</c:v>
                </c:pt>
                <c:pt idx="53">
                  <c:v>601.09294509887695</c:v>
                </c:pt>
                <c:pt idx="54">
                  <c:v>601.82484602928105</c:v>
                </c:pt>
                <c:pt idx="55">
                  <c:v>644.87157058715798</c:v>
                </c:pt>
                <c:pt idx="56">
                  <c:v>600.28947067260697</c:v>
                </c:pt>
                <c:pt idx="57">
                  <c:v>600.24803709983803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4-46C6-B2C0-D71388DF3436}"/>
            </c:ext>
          </c:extLst>
        </c:ser>
        <c:ser>
          <c:idx val="3"/>
          <c:order val="3"/>
          <c:tx>
            <c:strRef>
              <c:f>'analyse opti'!$K$2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3.59766483306884E-2</c:v>
                </c:pt>
                <c:pt idx="3">
                  <c:v>9.99212265014648E-4</c:v>
                </c:pt>
                <c:pt idx="4">
                  <c:v>1.4992713928222601E-2</c:v>
                </c:pt>
                <c:pt idx="5">
                  <c:v>193.68427395820601</c:v>
                </c:pt>
                <c:pt idx="6">
                  <c:v>9.9906921386718698E-3</c:v>
                </c:pt>
                <c:pt idx="7">
                  <c:v>2.29849815368652E-2</c:v>
                </c:pt>
                <c:pt idx="8">
                  <c:v>7.4953794479370103E-2</c:v>
                </c:pt>
                <c:pt idx="9">
                  <c:v>600.00611662864605</c:v>
                </c:pt>
                <c:pt idx="10">
                  <c:v>0.89596676826476995</c:v>
                </c:pt>
                <c:pt idx="11">
                  <c:v>9.9921226501464792E-3</c:v>
                </c:pt>
                <c:pt idx="12">
                  <c:v>5.0968885421752902E-2</c:v>
                </c:pt>
                <c:pt idx="13">
                  <c:v>1.7989873886108398E-2</c:v>
                </c:pt>
                <c:pt idx="14">
                  <c:v>600.00066709518399</c:v>
                </c:pt>
                <c:pt idx="15">
                  <c:v>80.949474334716797</c:v>
                </c:pt>
                <c:pt idx="16">
                  <c:v>600.00045371055603</c:v>
                </c:pt>
                <c:pt idx="17">
                  <c:v>600.01406955718903</c:v>
                </c:pt>
                <c:pt idx="18">
                  <c:v>1.49886608123779E-2</c:v>
                </c:pt>
                <c:pt idx="19">
                  <c:v>600.00008487701405</c:v>
                </c:pt>
                <c:pt idx="20">
                  <c:v>600.00038337707497</c:v>
                </c:pt>
                <c:pt idx="21">
                  <c:v>0.1309175491333</c:v>
                </c:pt>
                <c:pt idx="22">
                  <c:v>0.14590620994567799</c:v>
                </c:pt>
                <c:pt idx="23">
                  <c:v>600.00000309944096</c:v>
                </c:pt>
                <c:pt idx="24">
                  <c:v>5.8234691619872998E-2</c:v>
                </c:pt>
                <c:pt idx="25">
                  <c:v>2.19883918762207E-2</c:v>
                </c:pt>
                <c:pt idx="26">
                  <c:v>600.01285624503998</c:v>
                </c:pt>
                <c:pt idx="27">
                  <c:v>600.001451492309</c:v>
                </c:pt>
                <c:pt idx="28">
                  <c:v>600.00086259841896</c:v>
                </c:pt>
                <c:pt idx="29">
                  <c:v>600.00482940673805</c:v>
                </c:pt>
                <c:pt idx="30">
                  <c:v>600.00371742248501</c:v>
                </c:pt>
                <c:pt idx="31">
                  <c:v>0.78602242469787598</c:v>
                </c:pt>
                <c:pt idx="32">
                  <c:v>600.00101876258805</c:v>
                </c:pt>
                <c:pt idx="33">
                  <c:v>600.00011777877796</c:v>
                </c:pt>
                <c:pt idx="34">
                  <c:v>600.00163888931195</c:v>
                </c:pt>
                <c:pt idx="35">
                  <c:v>600.11819720268204</c:v>
                </c:pt>
                <c:pt idx="36">
                  <c:v>600.002541542053</c:v>
                </c:pt>
                <c:pt idx="37">
                  <c:v>35.2061574459075</c:v>
                </c:pt>
                <c:pt idx="38">
                  <c:v>3.2484240531921298</c:v>
                </c:pt>
                <c:pt idx="39">
                  <c:v>600.00355958938599</c:v>
                </c:pt>
                <c:pt idx="40">
                  <c:v>600.00221204757599</c:v>
                </c:pt>
                <c:pt idx="41">
                  <c:v>0.21412992477416901</c:v>
                </c:pt>
                <c:pt idx="42">
                  <c:v>600.00030303001404</c:v>
                </c:pt>
                <c:pt idx="43">
                  <c:v>0.40696930885314903</c:v>
                </c:pt>
                <c:pt idx="44">
                  <c:v>0.40496301651000899</c:v>
                </c:pt>
                <c:pt idx="45">
                  <c:v>600.00655198097195</c:v>
                </c:pt>
                <c:pt idx="46">
                  <c:v>51.528680324554401</c:v>
                </c:pt>
                <c:pt idx="47">
                  <c:v>600.00340938568104</c:v>
                </c:pt>
                <c:pt idx="48">
                  <c:v>1.88765668869018</c:v>
                </c:pt>
                <c:pt idx="49">
                  <c:v>1.67366647720336</c:v>
                </c:pt>
                <c:pt idx="50">
                  <c:v>1.6706955432891799</c:v>
                </c:pt>
                <c:pt idx="51">
                  <c:v>2.01778221130371</c:v>
                </c:pt>
                <c:pt idx="52">
                  <c:v>600.00095129013005</c:v>
                </c:pt>
                <c:pt idx="53">
                  <c:v>0.51900243759155196</c:v>
                </c:pt>
                <c:pt idx="54">
                  <c:v>0.47700047492980902</c:v>
                </c:pt>
                <c:pt idx="55">
                  <c:v>600.01352572441101</c:v>
                </c:pt>
                <c:pt idx="56">
                  <c:v>644.43951463699295</c:v>
                </c:pt>
                <c:pt idx="57">
                  <c:v>635.42285990715004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7-4561-827F-C49BCBAE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30-A6C2-7D5D54FD23FC}"/>
            </c:ext>
          </c:extLst>
        </c:ser>
        <c:ser>
          <c:idx val="1"/>
          <c:order val="1"/>
          <c:tx>
            <c:strRef>
              <c:f>'analyse opti'!$N$2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opti'!$N$3:$N$60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F-4A30-A6C2-7D5D54FD23FC}"/>
            </c:ext>
          </c:extLst>
        </c:ser>
        <c:ser>
          <c:idx val="2"/>
          <c:order val="2"/>
          <c:tx>
            <c:strRef>
              <c:f>'analyse opti'!$P$2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opti'!$P$3:$P$60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F-4A30-A6C2-7D5D54FD23FC}"/>
            </c:ext>
          </c:extLst>
        </c:ser>
        <c:ser>
          <c:idx val="3"/>
          <c:order val="3"/>
          <c:tx>
            <c:strRef>
              <c:f>'analyse opti'!$O$2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opti'!$O$3:$O$60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676-4B46-9016-D01F34ED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opti'!$B$3:$B$55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C-43D4-9C5A-2E044D9FCFB3}"/>
            </c:ext>
          </c:extLst>
        </c:ser>
        <c:ser>
          <c:idx val="3"/>
          <c:order val="1"/>
          <c:tx>
            <c:strRef>
              <c:f>'analyse opti'!$D$2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opti'!$D$3:$D$55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7C-43D4-9C5A-2E044D9FCFB3}"/>
            </c:ext>
          </c:extLst>
        </c:ser>
        <c:ser>
          <c:idx val="2"/>
          <c:order val="2"/>
          <c:tx>
            <c:strRef>
              <c:f>'analyse opti'!$E$2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opti'!$E$3:$E$55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C-43D4-9C5A-2E044D9F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opti'!$I$2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opti'!$I$3:$I$60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5">
                  <c:v>600.000310659408</c:v>
                </c:pt>
                <c:pt idx="6">
                  <c:v>600.00082755088795</c:v>
                </c:pt>
                <c:pt idx="7">
                  <c:v>4.9406051635742097E-2</c:v>
                </c:pt>
                <c:pt idx="8">
                  <c:v>2.79467105865478E-2</c:v>
                </c:pt>
                <c:pt idx="9">
                  <c:v>600.00893783569302</c:v>
                </c:pt>
                <c:pt idx="10">
                  <c:v>0.747933149337768</c:v>
                </c:pt>
                <c:pt idx="11">
                  <c:v>600.00044918060303</c:v>
                </c:pt>
                <c:pt idx="12">
                  <c:v>600.00024342536904</c:v>
                </c:pt>
                <c:pt idx="13">
                  <c:v>4.9781799316406196E-4</c:v>
                </c:pt>
                <c:pt idx="14">
                  <c:v>600.00058674812306</c:v>
                </c:pt>
                <c:pt idx="15">
                  <c:v>600.00035071372895</c:v>
                </c:pt>
                <c:pt idx="16">
                  <c:v>600.00082445144596</c:v>
                </c:pt>
                <c:pt idx="17">
                  <c:v>600.00375723838795</c:v>
                </c:pt>
                <c:pt idx="18">
                  <c:v>0.78700375556945801</c:v>
                </c:pt>
                <c:pt idx="19">
                  <c:v>600.00027894973698</c:v>
                </c:pt>
                <c:pt idx="20">
                  <c:v>600.00032162666298</c:v>
                </c:pt>
                <c:pt idx="21">
                  <c:v>1.2593636512756301</c:v>
                </c:pt>
                <c:pt idx="22">
                  <c:v>600.00077843665997</c:v>
                </c:pt>
                <c:pt idx="23">
                  <c:v>600.00081610679604</c:v>
                </c:pt>
                <c:pt idx="24">
                  <c:v>600.00135254859902</c:v>
                </c:pt>
                <c:pt idx="25">
                  <c:v>600.00024318695</c:v>
                </c:pt>
                <c:pt idx="26">
                  <c:v>600.05048632621697</c:v>
                </c:pt>
                <c:pt idx="27">
                  <c:v>600.00077986717201</c:v>
                </c:pt>
                <c:pt idx="28">
                  <c:v>600.00085353851296</c:v>
                </c:pt>
                <c:pt idx="29">
                  <c:v>600.03478670120205</c:v>
                </c:pt>
                <c:pt idx="30">
                  <c:v>600.00604081153801</c:v>
                </c:pt>
                <c:pt idx="31">
                  <c:v>600.00079083442597</c:v>
                </c:pt>
                <c:pt idx="32">
                  <c:v>600.00160241127003</c:v>
                </c:pt>
                <c:pt idx="33">
                  <c:v>600.00050497054997</c:v>
                </c:pt>
                <c:pt idx="34">
                  <c:v>600.00195264816205</c:v>
                </c:pt>
                <c:pt idx="35">
                  <c:v>600.00274729728699</c:v>
                </c:pt>
                <c:pt idx="36">
                  <c:v>600.002852201461</c:v>
                </c:pt>
                <c:pt idx="37">
                  <c:v>600.00181174278202</c:v>
                </c:pt>
                <c:pt idx="38">
                  <c:v>600.00078296661297</c:v>
                </c:pt>
                <c:pt idx="39">
                  <c:v>600.00523543357804</c:v>
                </c:pt>
                <c:pt idx="40">
                  <c:v>600.00343108177105</c:v>
                </c:pt>
                <c:pt idx="41">
                  <c:v>600.036569595336</c:v>
                </c:pt>
                <c:pt idx="42">
                  <c:v>600.00188612937905</c:v>
                </c:pt>
                <c:pt idx="43">
                  <c:v>600.00240349769501</c:v>
                </c:pt>
                <c:pt idx="44">
                  <c:v>600.002385377883</c:v>
                </c:pt>
                <c:pt idx="45">
                  <c:v>600.00732374191205</c:v>
                </c:pt>
                <c:pt idx="46">
                  <c:v>600.00077772140503</c:v>
                </c:pt>
                <c:pt idx="47">
                  <c:v>600.00499057769696</c:v>
                </c:pt>
                <c:pt idx="48">
                  <c:v>600.00081348419099</c:v>
                </c:pt>
                <c:pt idx="49">
                  <c:v>600.00052928924504</c:v>
                </c:pt>
                <c:pt idx="50">
                  <c:v>600.00107645988396</c:v>
                </c:pt>
                <c:pt idx="51">
                  <c:v>600.00173902511597</c:v>
                </c:pt>
                <c:pt idx="52">
                  <c:v>600.00144743919304</c:v>
                </c:pt>
                <c:pt idx="53">
                  <c:v>600.00185394287098</c:v>
                </c:pt>
                <c:pt idx="54">
                  <c:v>600.06738114356995</c:v>
                </c:pt>
                <c:pt idx="55">
                  <c:v>600.290383338928</c:v>
                </c:pt>
                <c:pt idx="56">
                  <c:v>600.00128197669903</c:v>
                </c:pt>
                <c:pt idx="57">
                  <c:v>600.00243091583195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ABC-9FB3-DE614B95D38F}"/>
            </c:ext>
          </c:extLst>
        </c:ser>
        <c:ser>
          <c:idx val="3"/>
          <c:order val="1"/>
          <c:tx>
            <c:strRef>
              <c:f>'analyse opti'!$K$2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3.59766483306884E-2</c:v>
                </c:pt>
                <c:pt idx="3">
                  <c:v>9.99212265014648E-4</c:v>
                </c:pt>
                <c:pt idx="4">
                  <c:v>1.4992713928222601E-2</c:v>
                </c:pt>
                <c:pt idx="5">
                  <c:v>193.68427395820601</c:v>
                </c:pt>
                <c:pt idx="6">
                  <c:v>9.9906921386718698E-3</c:v>
                </c:pt>
                <c:pt idx="7">
                  <c:v>2.29849815368652E-2</c:v>
                </c:pt>
                <c:pt idx="8">
                  <c:v>7.4953794479370103E-2</c:v>
                </c:pt>
                <c:pt idx="9">
                  <c:v>600.00611662864605</c:v>
                </c:pt>
                <c:pt idx="10">
                  <c:v>0.89596676826476995</c:v>
                </c:pt>
                <c:pt idx="11">
                  <c:v>9.9921226501464792E-3</c:v>
                </c:pt>
                <c:pt idx="12">
                  <c:v>5.0968885421752902E-2</c:v>
                </c:pt>
                <c:pt idx="13">
                  <c:v>1.7989873886108398E-2</c:v>
                </c:pt>
                <c:pt idx="14">
                  <c:v>600.00066709518399</c:v>
                </c:pt>
                <c:pt idx="15">
                  <c:v>80.949474334716797</c:v>
                </c:pt>
                <c:pt idx="16">
                  <c:v>600.00045371055603</c:v>
                </c:pt>
                <c:pt idx="17">
                  <c:v>600.01406955718903</c:v>
                </c:pt>
                <c:pt idx="18">
                  <c:v>1.49886608123779E-2</c:v>
                </c:pt>
                <c:pt idx="19">
                  <c:v>600.00008487701405</c:v>
                </c:pt>
                <c:pt idx="20">
                  <c:v>600.00038337707497</c:v>
                </c:pt>
                <c:pt idx="21">
                  <c:v>0.1309175491333</c:v>
                </c:pt>
                <c:pt idx="22">
                  <c:v>0.14590620994567799</c:v>
                </c:pt>
                <c:pt idx="23">
                  <c:v>600.00000309944096</c:v>
                </c:pt>
                <c:pt idx="24">
                  <c:v>5.8234691619872998E-2</c:v>
                </c:pt>
                <c:pt idx="25">
                  <c:v>2.19883918762207E-2</c:v>
                </c:pt>
                <c:pt idx="26">
                  <c:v>600.01285624503998</c:v>
                </c:pt>
                <c:pt idx="27">
                  <c:v>600.001451492309</c:v>
                </c:pt>
                <c:pt idx="28">
                  <c:v>600.00086259841896</c:v>
                </c:pt>
                <c:pt idx="29">
                  <c:v>600.00482940673805</c:v>
                </c:pt>
                <c:pt idx="30">
                  <c:v>600.00371742248501</c:v>
                </c:pt>
                <c:pt idx="31">
                  <c:v>0.78602242469787598</c:v>
                </c:pt>
                <c:pt idx="32">
                  <c:v>600.00101876258805</c:v>
                </c:pt>
                <c:pt idx="33">
                  <c:v>600.00011777877796</c:v>
                </c:pt>
                <c:pt idx="34">
                  <c:v>600.00163888931195</c:v>
                </c:pt>
                <c:pt idx="35">
                  <c:v>600.11819720268204</c:v>
                </c:pt>
                <c:pt idx="36">
                  <c:v>600.002541542053</c:v>
                </c:pt>
                <c:pt idx="37">
                  <c:v>35.2061574459075</c:v>
                </c:pt>
                <c:pt idx="38">
                  <c:v>3.2484240531921298</c:v>
                </c:pt>
                <c:pt idx="39">
                  <c:v>600.00355958938599</c:v>
                </c:pt>
                <c:pt idx="40">
                  <c:v>600.00221204757599</c:v>
                </c:pt>
                <c:pt idx="41">
                  <c:v>0.21412992477416901</c:v>
                </c:pt>
                <c:pt idx="42">
                  <c:v>600.00030303001404</c:v>
                </c:pt>
                <c:pt idx="43">
                  <c:v>0.40696930885314903</c:v>
                </c:pt>
                <c:pt idx="44">
                  <c:v>0.40496301651000899</c:v>
                </c:pt>
                <c:pt idx="45">
                  <c:v>600.00655198097195</c:v>
                </c:pt>
                <c:pt idx="46">
                  <c:v>51.528680324554401</c:v>
                </c:pt>
                <c:pt idx="47">
                  <c:v>600.00340938568104</c:v>
                </c:pt>
                <c:pt idx="48">
                  <c:v>1.88765668869018</c:v>
                </c:pt>
                <c:pt idx="49">
                  <c:v>1.67366647720336</c:v>
                </c:pt>
                <c:pt idx="50">
                  <c:v>1.6706955432891799</c:v>
                </c:pt>
                <c:pt idx="51">
                  <c:v>2.01778221130371</c:v>
                </c:pt>
                <c:pt idx="52">
                  <c:v>600.00095129013005</c:v>
                </c:pt>
                <c:pt idx="53">
                  <c:v>0.51900243759155196</c:v>
                </c:pt>
                <c:pt idx="54">
                  <c:v>0.47700047492980902</c:v>
                </c:pt>
                <c:pt idx="55">
                  <c:v>600.01352572441101</c:v>
                </c:pt>
                <c:pt idx="56">
                  <c:v>644.43951463699295</c:v>
                </c:pt>
                <c:pt idx="57">
                  <c:v>635.42285990715004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3-4ABC-9FB3-DE614B95D38F}"/>
            </c:ext>
          </c:extLst>
        </c:ser>
        <c:ser>
          <c:idx val="2"/>
          <c:order val="2"/>
          <c:tx>
            <c:strRef>
              <c:f>'analyse opti'!$L$2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opti'!$L$3:$L$60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5">
                  <c:v>600.00819158553998</c:v>
                </c:pt>
                <c:pt idx="6">
                  <c:v>600.27410411834705</c:v>
                </c:pt>
                <c:pt idx="7">
                  <c:v>4.9906015396118102E-2</c:v>
                </c:pt>
                <c:pt idx="8">
                  <c:v>3.2437086105346603E-2</c:v>
                </c:pt>
                <c:pt idx="9">
                  <c:v>600.04132962226799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4">
                  <c:v>600.07521581649701</c:v>
                </c:pt>
                <c:pt idx="15">
                  <c:v>600.00177216529801</c:v>
                </c:pt>
                <c:pt idx="16">
                  <c:v>600.02403354644696</c:v>
                </c:pt>
                <c:pt idx="17">
                  <c:v>600.09275841712895</c:v>
                </c:pt>
                <c:pt idx="18">
                  <c:v>0.90428185462951605</c:v>
                </c:pt>
                <c:pt idx="19">
                  <c:v>600.05643320083595</c:v>
                </c:pt>
                <c:pt idx="20">
                  <c:v>600.05038380622796</c:v>
                </c:pt>
                <c:pt idx="21">
                  <c:v>3.88625717163085</c:v>
                </c:pt>
                <c:pt idx="22">
                  <c:v>601.17205238342206</c:v>
                </c:pt>
                <c:pt idx="23">
                  <c:v>600.10653996467499</c:v>
                </c:pt>
                <c:pt idx="24">
                  <c:v>600.91414427757195</c:v>
                </c:pt>
                <c:pt idx="25">
                  <c:v>600.13222146034195</c:v>
                </c:pt>
                <c:pt idx="26">
                  <c:v>600.20346665382306</c:v>
                </c:pt>
                <c:pt idx="27">
                  <c:v>600.19302248954705</c:v>
                </c:pt>
                <c:pt idx="28">
                  <c:v>600.37310695648102</c:v>
                </c:pt>
                <c:pt idx="29">
                  <c:v>600.29022860527004</c:v>
                </c:pt>
                <c:pt idx="30">
                  <c:v>600.27779865264802</c:v>
                </c:pt>
                <c:pt idx="31">
                  <c:v>602.358385086059</c:v>
                </c:pt>
                <c:pt idx="32">
                  <c:v>600.59631824493397</c:v>
                </c:pt>
                <c:pt idx="33">
                  <c:v>600.16627001762299</c:v>
                </c:pt>
                <c:pt idx="34">
                  <c:v>600.75415635108902</c:v>
                </c:pt>
                <c:pt idx="35">
                  <c:v>600.80558609962395</c:v>
                </c:pt>
                <c:pt idx="36">
                  <c:v>600.98006176948502</c:v>
                </c:pt>
                <c:pt idx="37">
                  <c:v>602.10245442390396</c:v>
                </c:pt>
                <c:pt idx="38">
                  <c:v>603.44219565391495</c:v>
                </c:pt>
                <c:pt idx="39">
                  <c:v>600.20188379287697</c:v>
                </c:pt>
                <c:pt idx="40">
                  <c:v>600.62064647674504</c:v>
                </c:pt>
                <c:pt idx="41">
                  <c:v>600.70428371429398</c:v>
                </c:pt>
                <c:pt idx="42">
                  <c:v>604.61383175849903</c:v>
                </c:pt>
                <c:pt idx="43">
                  <c:v>602.14397764205899</c:v>
                </c:pt>
                <c:pt idx="44">
                  <c:v>602.06866168975796</c:v>
                </c:pt>
                <c:pt idx="45">
                  <c:v>600.74620985984802</c:v>
                </c:pt>
                <c:pt idx="46">
                  <c:v>600.67033243179299</c:v>
                </c:pt>
                <c:pt idx="47">
                  <c:v>600.79695272445599</c:v>
                </c:pt>
                <c:pt idx="48">
                  <c:v>601.59243249893098</c:v>
                </c:pt>
                <c:pt idx="49">
                  <c:v>601.60929727554299</c:v>
                </c:pt>
                <c:pt idx="50">
                  <c:v>601.60841202735901</c:v>
                </c:pt>
                <c:pt idx="51">
                  <c:v>604.28568577766396</c:v>
                </c:pt>
                <c:pt idx="52">
                  <c:v>604.158576726913</c:v>
                </c:pt>
                <c:pt idx="53">
                  <c:v>601.09294509887695</c:v>
                </c:pt>
                <c:pt idx="54">
                  <c:v>601.82484602928105</c:v>
                </c:pt>
                <c:pt idx="55">
                  <c:v>644.87157058715798</c:v>
                </c:pt>
                <c:pt idx="56">
                  <c:v>600.28947067260697</c:v>
                </c:pt>
                <c:pt idx="57">
                  <c:v>600.24803709983803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3-4ABC-9FB3-DE614B95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C-4499-95EE-B1524B177DDB}"/>
            </c:ext>
          </c:extLst>
        </c:ser>
        <c:ser>
          <c:idx val="3"/>
          <c:order val="1"/>
          <c:tx>
            <c:strRef>
              <c:f>'analyse opti'!$O$2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opti'!$O$3:$O$60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C-4499-95EE-B1524B177DDB}"/>
            </c:ext>
          </c:extLst>
        </c:ser>
        <c:ser>
          <c:idx val="2"/>
          <c:order val="2"/>
          <c:tx>
            <c:strRef>
              <c:f>'analyse opti'!$P$2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opti'!$P$3:$P$60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C-4499-95EE-B1524B17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opti'!$W$2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opti'!$W$3:$W$33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4-4D5C-A4BF-FC4BE43866C5}"/>
            </c:ext>
          </c:extLst>
        </c:ser>
        <c:ser>
          <c:idx val="1"/>
          <c:order val="1"/>
          <c:tx>
            <c:strRef>
              <c:f>'analyse opti'!$X$2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opti'!$X$3:$X$33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4-4D5C-A4BF-FC4BE438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5023"/>
        <c:axId val="2032355551"/>
      </c:scatterChart>
      <c:valAx>
        <c:axId val="20394350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355551"/>
        <c:crosses val="autoZero"/>
        <c:crossBetween val="midCat"/>
      </c:valAx>
      <c:valAx>
        <c:axId val="2032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4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sat'!$B$3:$B$78</c:f>
              <c:numCache>
                <c:formatCode>General</c:formatCode>
                <c:ptCount val="76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450A-B1EE-01F75F52DD65}"/>
            </c:ext>
          </c:extLst>
        </c:ser>
        <c:ser>
          <c:idx val="1"/>
          <c:order val="1"/>
          <c:tx>
            <c:strRef>
              <c:f>'analyse sat'!$C$2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sat'!$C$3:$C$78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7-450A-B1EE-01F75F52DD65}"/>
            </c:ext>
          </c:extLst>
        </c:ser>
        <c:ser>
          <c:idx val="2"/>
          <c:order val="2"/>
          <c:tx>
            <c:strRef>
              <c:f>'analyse sat'!$D$2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sat'!$D$3:$D$78</c:f>
              <c:numCache>
                <c:formatCode>General</c:formatCode>
                <c:ptCount val="76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7-450A-B1EE-01F75F52DD65}"/>
            </c:ext>
          </c:extLst>
        </c:ser>
        <c:ser>
          <c:idx val="3"/>
          <c:order val="3"/>
          <c:tx>
            <c:strRef>
              <c:f>'analyse sat'!$E$2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sat'!$E$3:$E$78</c:f>
              <c:numCache>
                <c:formatCode>General</c:formatCode>
                <c:ptCount val="76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37-450A-B1EE-01F75F52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E-45D4-A17E-26FFDDF0A2DE}"/>
            </c:ext>
          </c:extLst>
        </c:ser>
        <c:ser>
          <c:idx val="1"/>
          <c:order val="1"/>
          <c:tx>
            <c:strRef>
              <c:f>'analyse sat'!$U$2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sat'!$U$3:$U$60</c:f>
              <c:numCache>
                <c:formatCode>0.0</c:formatCode>
                <c:ptCount val="58"/>
                <c:pt idx="0">
                  <c:v>0</c:v>
                </c:pt>
                <c:pt idx="1">
                  <c:v>1.00064277648925E-3</c:v>
                </c:pt>
                <c:pt idx="2">
                  <c:v>9.9954605102538993E-3</c:v>
                </c:pt>
                <c:pt idx="3">
                  <c:v>5.3398370742797803E-2</c:v>
                </c:pt>
                <c:pt idx="4">
                  <c:v>3.0981540679931599E-2</c:v>
                </c:pt>
                <c:pt idx="5">
                  <c:v>6.4959287643432603E-2</c:v>
                </c:pt>
                <c:pt idx="6">
                  <c:v>9.3323707580566406E-2</c:v>
                </c:pt>
                <c:pt idx="7">
                  <c:v>9.0943813323974595E-2</c:v>
                </c:pt>
                <c:pt idx="8">
                  <c:v>0.14222955703735299</c:v>
                </c:pt>
                <c:pt idx="9">
                  <c:v>4.0952160358428902</c:v>
                </c:pt>
                <c:pt idx="10">
                  <c:v>1.05000495910644</c:v>
                </c:pt>
                <c:pt idx="11">
                  <c:v>0.34234738349914501</c:v>
                </c:pt>
                <c:pt idx="12">
                  <c:v>0.16219210624694799</c:v>
                </c:pt>
                <c:pt idx="13">
                  <c:v>0.30581045150756803</c:v>
                </c:pt>
                <c:pt idx="14">
                  <c:v>2.6669299602508501</c:v>
                </c:pt>
                <c:pt idx="15">
                  <c:v>0.58163928985595703</c:v>
                </c:pt>
                <c:pt idx="16">
                  <c:v>2.5835888385772701</c:v>
                </c:pt>
                <c:pt idx="17">
                  <c:v>1.23565077781677</c:v>
                </c:pt>
                <c:pt idx="18">
                  <c:v>1.67281937599182</c:v>
                </c:pt>
                <c:pt idx="19">
                  <c:v>0.33379125595092701</c:v>
                </c:pt>
                <c:pt idx="20">
                  <c:v>0.71655511856079102</c:v>
                </c:pt>
                <c:pt idx="21">
                  <c:v>3.2309973239898602</c:v>
                </c:pt>
                <c:pt idx="22">
                  <c:v>6.4327714443206698</c:v>
                </c:pt>
                <c:pt idx="23">
                  <c:v>2.1006999015808101</c:v>
                </c:pt>
                <c:pt idx="24">
                  <c:v>0.192133903503417</c:v>
                </c:pt>
                <c:pt idx="25">
                  <c:v>0.193132638931274</c:v>
                </c:pt>
                <c:pt idx="26">
                  <c:v>5.3523237705230704</c:v>
                </c:pt>
                <c:pt idx="27">
                  <c:v>2.9281845092773402</c:v>
                </c:pt>
                <c:pt idx="28">
                  <c:v>7.1185894012451101</c:v>
                </c:pt>
                <c:pt idx="29">
                  <c:v>2.9673588275909402</c:v>
                </c:pt>
                <c:pt idx="30">
                  <c:v>3.50932693481445</c:v>
                </c:pt>
                <c:pt idx="31">
                  <c:v>8.2248647212982107</c:v>
                </c:pt>
                <c:pt idx="32">
                  <c:v>7.1615617275238002</c:v>
                </c:pt>
                <c:pt idx="33">
                  <c:v>3.0621042251586901</c:v>
                </c:pt>
                <c:pt idx="34">
                  <c:v>9.8788809776306099</c:v>
                </c:pt>
                <c:pt idx="35">
                  <c:v>4.0567862987518302</c:v>
                </c:pt>
                <c:pt idx="36">
                  <c:v>8.4226174354553205</c:v>
                </c:pt>
                <c:pt idx="37">
                  <c:v>4.7670474052429199</c:v>
                </c:pt>
                <c:pt idx="38">
                  <c:v>9.6466603279113698</c:v>
                </c:pt>
                <c:pt idx="39">
                  <c:v>7.6899833679199201</c:v>
                </c:pt>
                <c:pt idx="40">
                  <c:v>18.201698303222599</c:v>
                </c:pt>
                <c:pt idx="41">
                  <c:v>7.4058260917663503</c:v>
                </c:pt>
                <c:pt idx="42">
                  <c:v>8.1345353126525808</c:v>
                </c:pt>
                <c:pt idx="43">
                  <c:v>3.4358716011047301</c:v>
                </c:pt>
                <c:pt idx="44">
                  <c:v>3.8626077175140301</c:v>
                </c:pt>
                <c:pt idx="45">
                  <c:v>13.9938941001892</c:v>
                </c:pt>
                <c:pt idx="46">
                  <c:v>12.8525645732879</c:v>
                </c:pt>
                <c:pt idx="47">
                  <c:v>13.309240579605101</c:v>
                </c:pt>
                <c:pt idx="48">
                  <c:v>8.4678997993469203</c:v>
                </c:pt>
                <c:pt idx="49">
                  <c:v>8.3471274375915492</c:v>
                </c:pt>
                <c:pt idx="50">
                  <c:v>8.8421905040740896</c:v>
                </c:pt>
                <c:pt idx="51">
                  <c:v>8.8856062889099103</c:v>
                </c:pt>
                <c:pt idx="52">
                  <c:v>22.858041524887</c:v>
                </c:pt>
                <c:pt idx="53">
                  <c:v>17.8650350570678</c:v>
                </c:pt>
                <c:pt idx="54">
                  <c:v>21.347915887832599</c:v>
                </c:pt>
                <c:pt idx="55">
                  <c:v>87.3468914031982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E-45D4-A17E-26FFDDF0A2DE}"/>
            </c:ext>
          </c:extLst>
        </c:ser>
        <c:ser>
          <c:idx val="2"/>
          <c:order val="2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E-45D4-A17E-26FFDDF0A2DE}"/>
            </c:ext>
          </c:extLst>
        </c:ser>
        <c:ser>
          <c:idx val="3"/>
          <c:order val="3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E-45D4-A17E-26FFDDF0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sat'!$Z$2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sat'!$Z$3:$Z$60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CBC-9EA3-1B5E1FDB1AF8}"/>
            </c:ext>
          </c:extLst>
        </c:ser>
        <c:ser>
          <c:idx val="1"/>
          <c:order val="1"/>
          <c:tx>
            <c:strRef>
              <c:f>'analyse sat'!$AA$2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sat'!$AA$3:$AA$60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CBC-9EA3-1B5E1FDB1AF8}"/>
            </c:ext>
          </c:extLst>
        </c:ser>
        <c:ser>
          <c:idx val="2"/>
          <c:order val="2"/>
          <c:tx>
            <c:strRef>
              <c:f>'analyse sat'!$AB$2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sat'!$AB$3:$AB$60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  <c:pt idx="5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E-4CBC-9EA3-1B5E1FDB1AF8}"/>
            </c:ext>
          </c:extLst>
        </c:ser>
        <c:ser>
          <c:idx val="3"/>
          <c:order val="3"/>
          <c:tx>
            <c:strRef>
              <c:f>'analyse sat'!$AC$2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sat'!$AC$3:$AC$60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E-4CBC-9EA3-1B5E1FDB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sat'!$AF$2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sat'!$AF$3:$AF$1204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67-BCBF-E5C47BE6CBC7}"/>
            </c:ext>
          </c:extLst>
        </c:ser>
        <c:ser>
          <c:idx val="1"/>
          <c:order val="1"/>
          <c:tx>
            <c:strRef>
              <c:f>'analyse sat'!$AG$2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sat'!$AG$3:$AG$1204</c:f>
              <c:numCache>
                <c:formatCode>General</c:formatCode>
                <c:ptCount val="120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67-BCBF-E5C47BE6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sat'!$B$3:$B$79</c:f>
              <c:numCache>
                <c:formatCode>General</c:formatCode>
                <c:ptCount val="77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6-4088-B44C-8ECB26B08D08}"/>
            </c:ext>
          </c:extLst>
        </c:ser>
        <c:ser>
          <c:idx val="2"/>
          <c:order val="1"/>
          <c:tx>
            <c:strRef>
              <c:f>'analyse sat'!$D$2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sat'!$D$3:$D$79</c:f>
              <c:numCache>
                <c:formatCode>General</c:formatCode>
                <c:ptCount val="77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6-4088-B44C-8ECB26B08D08}"/>
            </c:ext>
          </c:extLst>
        </c:ser>
        <c:ser>
          <c:idx val="3"/>
          <c:order val="2"/>
          <c:tx>
            <c:strRef>
              <c:f>'analyse sat'!$E$2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sat'!$E$3:$E$79</c:f>
              <c:numCache>
                <c:formatCode>General</c:formatCode>
                <c:ptCount val="77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6-4088-B44C-8ECB26B0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solutions optimales trouvées selon la méthode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sat'!$G$3</c:f>
              <c:strCache>
                <c:ptCount val="1"/>
                <c:pt idx="0">
                  <c:v>Solutions optimales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sat'!$H$2:$J$2</c:f>
              <c:strCache>
                <c:ptCount val="3"/>
                <c:pt idx="0">
                  <c:v>FC</c:v>
                </c:pt>
                <c:pt idx="1">
                  <c:v>FC + AC de tps en tps</c:v>
                </c:pt>
                <c:pt idx="2">
                  <c:v>DS</c:v>
                </c:pt>
              </c:strCache>
            </c:strRef>
          </c:cat>
          <c:val>
            <c:numRef>
              <c:f>'analyse sat'!$H$3:$J$3</c:f>
              <c:numCache>
                <c:formatCode>General</c:formatCode>
                <c:ptCount val="3"/>
                <c:pt idx="0">
                  <c:v>24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4F3-BA89-1AFB1CB4B429}"/>
            </c:ext>
          </c:extLst>
        </c:ser>
        <c:ser>
          <c:idx val="1"/>
          <c:order val="1"/>
          <c:tx>
            <c:strRef>
              <c:f>'analyse sat'!$G$4</c:f>
              <c:strCache>
                <c:ptCount val="1"/>
                <c:pt idx="0">
                  <c:v>Solutions réalisables non optimales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sat'!$H$2:$J$2</c:f>
              <c:strCache>
                <c:ptCount val="3"/>
                <c:pt idx="0">
                  <c:v>FC</c:v>
                </c:pt>
                <c:pt idx="1">
                  <c:v>FC + AC de tps en tps</c:v>
                </c:pt>
                <c:pt idx="2">
                  <c:v>DS</c:v>
                </c:pt>
              </c:strCache>
            </c:strRef>
          </c:cat>
          <c:val>
            <c:numRef>
              <c:f>'analyse sat'!$H$4:$J$4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6-44F3-BA89-1AFB1CB4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1825871"/>
        <c:axId val="1890196975"/>
      </c:barChart>
      <c:catAx>
        <c:axId val="1861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196975"/>
        <c:crosses val="autoZero"/>
        <c:auto val="1"/>
        <c:lblAlgn val="ctr"/>
        <c:lblOffset val="100"/>
        <c:noMultiLvlLbl val="0"/>
      </c:catAx>
      <c:valAx>
        <c:axId val="1890196975"/>
        <c:scaling>
          <c:orientation val="minMax"/>
          <c:max val="45"/>
        </c:scaling>
        <c:delete val="1"/>
        <c:axPos val="l"/>
        <c:numFmt formatCode="General" sourceLinked="1"/>
        <c:majorTickMark val="out"/>
        <c:minorTickMark val="none"/>
        <c:tickLblPos val="nextTo"/>
        <c:crossAx val="1861825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sat'!$M$3:$M$46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06E-8635-AC11CD472A90}"/>
            </c:ext>
          </c:extLst>
        </c:ser>
        <c:ser>
          <c:idx val="2"/>
          <c:order val="1"/>
          <c:tx>
            <c:strRef>
              <c:f>'analyse sat'!$O$2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sat'!$O$3:$O$46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7-406E-8635-AC11CD472A90}"/>
            </c:ext>
          </c:extLst>
        </c:ser>
        <c:ser>
          <c:idx val="3"/>
          <c:order val="2"/>
          <c:tx>
            <c:strRef>
              <c:f>'analyse sat'!$P$2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sat'!$P$3:$P$46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7-406E-8635-AC11CD47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7F2-BA95-A38B72C053C6}"/>
            </c:ext>
          </c:extLst>
        </c:ser>
        <c:ser>
          <c:idx val="2"/>
          <c:order val="1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7F2-BA95-A38B72C053C6}"/>
            </c:ext>
          </c:extLst>
        </c:ser>
        <c:ser>
          <c:idx val="3"/>
          <c:order val="2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E-47F2-BA95-A38B72C0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142875</xdr:rowOff>
    </xdr:from>
    <xdr:to>
      <xdr:col>12</xdr:col>
      <xdr:colOff>295275</xdr:colOff>
      <xdr:row>28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D15EE-24DF-4BD4-90CF-DF77E4AC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29</xdr:row>
      <xdr:rowOff>167641</xdr:rowOff>
    </xdr:from>
    <xdr:to>
      <xdr:col>13</xdr:col>
      <xdr:colOff>342900</xdr:colOff>
      <xdr:row>55</xdr:row>
      <xdr:rowOff>167640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BDC3D6-497C-4DC5-9A31-95F0EE40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525780</xdr:colOff>
      <xdr:row>59</xdr:row>
      <xdr:rowOff>99060</xdr:rowOff>
    </xdr:from>
    <xdr:to>
      <xdr:col>14</xdr:col>
      <xdr:colOff>236220</xdr:colOff>
      <xdr:row>88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C44A0-4E27-40B1-A787-86F4B52B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586740</xdr:colOff>
      <xdr:row>25</xdr:row>
      <xdr:rowOff>99060</xdr:rowOff>
    </xdr:from>
    <xdr:to>
      <xdr:col>23</xdr:col>
      <xdr:colOff>15240</xdr:colOff>
      <xdr:row>51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88750-459B-47AF-B637-1A0A8EFF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777240</xdr:colOff>
      <xdr:row>60</xdr:row>
      <xdr:rowOff>144780</xdr:rowOff>
    </xdr:from>
    <xdr:to>
      <xdr:col>24</xdr:col>
      <xdr:colOff>525780</xdr:colOff>
      <xdr:row>85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1FB30-FD19-41B7-9529-1D5A4354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27</xdr:row>
      <xdr:rowOff>129540</xdr:rowOff>
    </xdr:from>
    <xdr:to>
      <xdr:col>13</xdr:col>
      <xdr:colOff>78105</xdr:colOff>
      <xdr:row>53</xdr:row>
      <xdr:rowOff>129539</xdr:rowOff>
    </xdr:to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D98E7A0B-E416-4424-9DA5-A3F01158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</xdr:row>
      <xdr:rowOff>91440</xdr:rowOff>
    </xdr:from>
    <xdr:to>
      <xdr:col>12</xdr:col>
      <xdr:colOff>45720</xdr:colOff>
      <xdr:row>25</xdr:row>
      <xdr:rowOff>22320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D1A0A543-C41C-461B-96A2-FF25F4B1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1</xdr:row>
      <xdr:rowOff>137160</xdr:rowOff>
    </xdr:from>
    <xdr:to>
      <xdr:col>25</xdr:col>
      <xdr:colOff>120015</xdr:colOff>
      <xdr:row>25</xdr:row>
      <xdr:rowOff>68040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1E01E463-2A0C-457F-B084-CD9FAF824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26</xdr:row>
      <xdr:rowOff>99060</xdr:rowOff>
    </xdr:from>
    <xdr:to>
      <xdr:col>28</xdr:col>
      <xdr:colOff>236220</xdr:colOff>
      <xdr:row>53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F77E7-C81F-4648-ABF0-A46654536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388620</xdr:colOff>
      <xdr:row>53</xdr:row>
      <xdr:rowOff>106680</xdr:rowOff>
    </xdr:from>
    <xdr:to>
      <xdr:col>25</xdr:col>
      <xdr:colOff>426720</xdr:colOff>
      <xdr:row>79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E7E2-FD41-4519-AEB6-64FFC6C9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466724</xdr:colOff>
      <xdr:row>54</xdr:row>
      <xdr:rowOff>47625</xdr:rowOff>
    </xdr:from>
    <xdr:to>
      <xdr:col>13</xdr:col>
      <xdr:colOff>134324</xdr:colOff>
      <xdr:row>80</xdr:row>
      <xdr:rowOff>48225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DB288857-98C3-433B-89B3-E974A6E8E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6</xdr:row>
      <xdr:rowOff>185737</xdr:rowOff>
    </xdr:from>
    <xdr:to>
      <xdr:col>20</xdr:col>
      <xdr:colOff>400050</xdr:colOff>
      <xdr:row>21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7E448-AFD2-455A-8966-B37CE3E8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57150</xdr:rowOff>
    </xdr:from>
    <xdr:to>
      <xdr:col>13</xdr:col>
      <xdr:colOff>152400</xdr:colOff>
      <xdr:row>26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5FF6C8-8812-4B92-A80F-3FC1B2E4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209549</xdr:colOff>
      <xdr:row>1</xdr:row>
      <xdr:rowOff>114300</xdr:rowOff>
    </xdr:from>
    <xdr:to>
      <xdr:col>25</xdr:col>
      <xdr:colOff>276224</xdr:colOff>
      <xdr:row>28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6ED5EF1-DD76-4C8C-89E4-2991239D4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28</xdr:row>
      <xdr:rowOff>95249</xdr:rowOff>
    </xdr:from>
    <xdr:to>
      <xdr:col>24</xdr:col>
      <xdr:colOff>714375</xdr:colOff>
      <xdr:row>55</xdr:row>
      <xdr:rowOff>161924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CDBEDD-CC21-4584-AB5B-C2E7EA6F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45720</xdr:rowOff>
    </xdr:from>
    <xdr:to>
      <xdr:col>14</xdr:col>
      <xdr:colOff>548641</xdr:colOff>
      <xdr:row>26</xdr:row>
      <xdr:rowOff>36195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6FD881DA-2E61-4A74-8D7A-656430AD1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26</xdr:row>
      <xdr:rowOff>83820</xdr:rowOff>
    </xdr:from>
    <xdr:to>
      <xdr:col>15</xdr:col>
      <xdr:colOff>241935</xdr:colOff>
      <xdr:row>52</xdr:row>
      <xdr:rowOff>171450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620E3CD4-5247-43A3-91F0-4E6280DB3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24</xdr:row>
      <xdr:rowOff>152400</xdr:rowOff>
    </xdr:from>
    <xdr:to>
      <xdr:col>30</xdr:col>
      <xdr:colOff>118110</xdr:colOff>
      <xdr:row>52</xdr:row>
      <xdr:rowOff>36195</xdr:rowOff>
    </xdr:to>
    <xdr:graphicFrame macro="">
      <xdr:nvGraphicFramePr>
        <xdr:cNvPr id="4" name="Graphique 6">
          <a:extLst>
            <a:ext uri="{FF2B5EF4-FFF2-40B4-BE49-F238E27FC236}">
              <a16:creationId xmlns:a16="http://schemas.microsoft.com/office/drawing/2014/main" id="{FBDE3A07-1315-46A0-AEBA-DB1AAEC75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0</xdr:row>
      <xdr:rowOff>76200</xdr:rowOff>
    </xdr:from>
    <xdr:to>
      <xdr:col>29</xdr:col>
      <xdr:colOff>317850</xdr:colOff>
      <xdr:row>25</xdr:row>
      <xdr:rowOff>65700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7D138F-C3C9-4D07-9717-32B8F849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CB22B-92F9-4A7A-95E4-F0AB34C0C7D0}" name="Graphes" displayName="Graphes" ref="A4:BE62" totalsRowShown="0">
  <autoFilter ref="A4:BE62" xr:uid="{86144E25-A113-42F5-A244-693EFB9A1887}"/>
  <sortState ref="A5:BE62">
    <sortCondition descending="1" ref="AP4:AP62"/>
  </sortState>
  <tableColumns count="57">
    <tableColumn id="1" xr3:uid="{3353471C-4632-4FA8-BB26-D8948084FDDF}" name="Instance"/>
    <tableColumn id="2" xr3:uid="{07B294E3-8178-4411-AD43-8B3069736A6E}" name="Opt"/>
    <tableColumn id="3" xr3:uid="{51DC44B4-4108-47A9-BAA9-1CACDF54D98F}" name="Temps création" dataDxfId="66"/>
    <tableColumn id="4" xr3:uid="{EDF69FC1-E713-4DD3-854C-CD2A932601A4}" name="Nb var"/>
    <tableColumn id="5" xr3:uid="{324B9B68-9395-4592-860A-220CE4E17B96}" name="Nb contraintes"/>
    <tableColumn id="6" xr3:uid="{EC5845B7-6E60-4A96-B08A-430259131F05}" name="Max clique (lb)"/>
    <tableColumn id="7" xr3:uid="{F1D78F4E-CC6F-4EAC-A255-6AAB3B2FAD62}" name="ub"/>
    <tableColumn id="8" xr3:uid="{12B61C7B-C8C5-472D-8DDA-265BE010329B}" name="DS_Solution"/>
    <tableColumn id="43" xr3:uid="{492AFFE4-CA94-47FB-B44A-1E754B6F1E0F}" name="DS_dist_opt" dataDxfId="65" dataCellStyle="Pourcentage">
      <calculatedColumnFormula>(Graphes[[#This Row],[DS_Solution]]-Graphes[[#This Row],[Opt]])/Graphes[[#This Row],[Opt]]</calculatedColumnFormula>
    </tableColumn>
    <tableColumn id="9" xr3:uid="{53ADDDFA-2791-41A5-9386-8F6907940413}" name="DS_Temps" dataDxfId="64"/>
    <tableColumn id="10" xr3:uid="{A5821497-B900-4D53-AE79-896FC095CA4F}" name="DS_Noeuds"/>
    <tableColumn id="11" xr3:uid="{01A2E06A-0003-457E-84BE-FE5143EF5B5E}" name="DS_Echecs"/>
    <tableColumn id="12" xr3:uid="{D098E44A-C43C-4E4D-9C29-B3321A9C614F}" name="DS_Temps BR" dataDxfId="63"/>
    <tableColumn id="13" xr3:uid="{EB8B8E21-61EF-4C21-A925-F7F643ECE71D}" name="DS_Temps AC" dataDxfId="62"/>
    <tableColumn id="14" xr3:uid="{7F2A0D84-18ED-4B63-875F-24CCFD17F3D5}" name="DS_Temps FC" dataDxfId="61"/>
    <tableColumn id="15" xr3:uid="{E3A6B516-D941-4480-94E3-55667BBF1CE3}" name="FC_AC_30_sans_clique_Solution" dataDxfId="60"/>
    <tableColumn id="44" xr3:uid="{2F2F4E79-85F7-4406-98E1-8E6B6D411A71}" name="FC_AC_30_sans_clique_dist_opt" dataDxfId="59" dataCellStyle="Pourcentage">
      <calculatedColumnFormula>(Graphes[[#This Row],[FC_AC_30_sans_clique_Solution]]-Graphes[[#This Row],[Opt]])/Graphes[[#This Row],[Opt]]</calculatedColumnFormula>
    </tableColumn>
    <tableColumn id="16" xr3:uid="{DEC2C143-FDA6-43A1-8F7C-FC3492BC38F9}" name="FC_AC_30_sans_clique_Temps" dataDxfId="58"/>
    <tableColumn id="17" xr3:uid="{35A38DFF-8E90-44E5-A8C4-E805C710BD42}" name="FC_AC_30_sans_clique_Noeuds" dataDxfId="57"/>
    <tableColumn id="18" xr3:uid="{94B6F1CF-4644-4699-8435-2192C08B2139}" name="FC_AC_30_sans_clique_Echecs" dataDxfId="56"/>
    <tableColumn id="19" xr3:uid="{1A2BB490-8729-4401-A5E4-F64296ED9268}" name="FC_AC_30_sans_clique_Temps BR" dataDxfId="55"/>
    <tableColumn id="20" xr3:uid="{F1624D34-30E1-4EAF-8984-712E981E2200}" name="FC_AC_30_sans_clique_Temps AC" dataDxfId="54"/>
    <tableColumn id="21" xr3:uid="{17F694B0-1FD6-4EEE-802A-92648A092247}" name="FC_AC_30_sans_clique_Temps FC" dataDxfId="53"/>
    <tableColumn id="22" xr3:uid="{9A44DC98-C3D4-4897-9B9D-8A672E3B3ECD}" name="FC_AC_30_Solution" dataDxfId="52"/>
    <tableColumn id="45" xr3:uid="{A3D2ED93-4E53-4F78-88CB-162A97C0A3F2}" name="FC_AC_30_dist_opt" dataDxfId="51">
      <calculatedColumnFormula>(Graphes[[#This Row],[FC_AC_30_Solution]]-Graphes[[#This Row],[Opt]])/Graphes[[#This Row],[Opt]]</calculatedColumnFormula>
    </tableColumn>
    <tableColumn id="23" xr3:uid="{C858E554-19D9-4E60-B18E-A899FF3AC3E9}" name="FC_AC_30_Temps" dataDxfId="50"/>
    <tableColumn id="24" xr3:uid="{7CB28CD7-AB18-4D6C-BD6D-98DA407E1E0A}" name="FC_AC_30_Noeuds" dataDxfId="49"/>
    <tableColumn id="25" xr3:uid="{9A9D51EA-B514-49D7-98DD-508F2831F5D8}" name="FC_AC_30_Echecs" dataDxfId="48"/>
    <tableColumn id="26" xr3:uid="{25F54564-23B3-432D-9737-D1C4BED95BDA}" name="FC_AC_30_Temps BR" dataDxfId="47"/>
    <tableColumn id="27" xr3:uid="{2A503B19-6754-4084-B0BE-B6666FB6CF64}" name="FC_AC_30_Temps AC" dataDxfId="46"/>
    <tableColumn id="28" xr3:uid="{25A6444A-6AA5-4D31-BDAF-A3C7F8A292D3}" name="FC_AC_30_Temps FC" dataDxfId="45"/>
    <tableColumn id="29" xr3:uid="{C7A2DA37-D286-43B0-813F-4441F16F2A7E}" name="FC_AC_Solution"/>
    <tableColumn id="46" xr3:uid="{49737A9A-BB03-480C-9EC7-EE62C501F90A}" name="FC_AC_dist_opt" dataDxfId="44">
      <calculatedColumnFormula>(Graphes[[#This Row],[FC_AC_Solution]]-Graphes[[#This Row],[Opt]])/Graphes[[#This Row],[Opt]]</calculatedColumnFormula>
    </tableColumn>
    <tableColumn id="30" xr3:uid="{D8339938-683C-4A30-A79D-77E2855EF4BF}" name="FC_AC_Temps" dataDxfId="43"/>
    <tableColumn id="31" xr3:uid="{9540A02A-DA3C-4925-A2E5-770C7CE651A1}" name="FC_AC_Noeuds"/>
    <tableColumn id="32" xr3:uid="{45B70EEF-316A-4363-A631-A68135AB3C2A}" name="FC_AC_Echecs"/>
    <tableColumn id="33" xr3:uid="{3C53735A-1F69-4341-934A-2145BEA61C40}" name="FC_AC_Temps BR" dataDxfId="42"/>
    <tableColumn id="34" xr3:uid="{1E0F6F84-FCBE-4D78-A7F8-347CA39FCB1E}" name="FC_AC_Temps AC" dataDxfId="41"/>
    <tableColumn id="35" xr3:uid="{2EBF1902-FEFF-4619-ACCA-426172AA0BD9}" name="FC_AC_Temps FC" dataDxfId="40"/>
    <tableColumn id="36" xr3:uid="{5AA08F18-3D01-40FC-B14D-AA50C2BCEE44}" name="FC_Solution"/>
    <tableColumn id="47" xr3:uid="{B71204BE-0DE3-4F04-9F18-574723BF5623}" name="FC_dist_opt" dataDxfId="39">
      <calculatedColumnFormula>(Graphes[[#This Row],[FC_Solution]]-Graphes[[#This Row],[Opt]])/Graphes[[#This Row],[Opt]]</calculatedColumnFormula>
    </tableColumn>
    <tableColumn id="37" xr3:uid="{92889C27-88CA-43A8-A620-4C22E23558A5}" name="FC_Temps" dataDxfId="38"/>
    <tableColumn id="38" xr3:uid="{E04C8996-1329-41E0-BFC3-EFC05BD5D77F}" name="FC_Noeuds"/>
    <tableColumn id="39" xr3:uid="{1FEB8813-E9D3-4325-845E-69B6D7DBC56E}" name="FC_Echecs"/>
    <tableColumn id="40" xr3:uid="{8356CB90-ACE5-4EB7-A46F-70D28EB65455}" name="FC_Temps BR" dataDxfId="37"/>
    <tableColumn id="41" xr3:uid="{72362EE9-0CE1-4065-9145-9E717E32A445}" name="FC_Temps AC" dataDxfId="36"/>
    <tableColumn id="42" xr3:uid="{3BD32F9B-2056-451C-A1CE-0532984437D9}" name="FC_Temps FC" dataDxfId="35"/>
    <tableColumn id="48" xr3:uid="{D352355B-F2EC-4562-AA32-F93FEE58BE9D}" name="DS_sans_clique_Solution" dataDxfId="34"/>
    <tableColumn id="49" xr3:uid="{62C7AF6C-F295-4F0F-BE35-80283420E80C}" name="DS_sans_clique_dist_opt">
      <calculatedColumnFormula>(Graphes[[#This Row],[DS_sans_clique_Solution]]-Graphes[Opt])/Graphes[Opt]</calculatedColumnFormula>
    </tableColumn>
    <tableColumn id="50" xr3:uid="{BD973B44-E4F0-4A7D-9E5A-CEEB689F8D08}" name="DS_sans_clique_Temps" dataDxfId="33"/>
    <tableColumn id="51" xr3:uid="{9D665EC6-874D-4E13-AC1F-982B2D818AD3}" name="DS_sans_clique_Noeuds" dataDxfId="32"/>
    <tableColumn id="52" xr3:uid="{8F6D220B-3E38-40CC-8DDC-06AC2F66047B}" name="DS_sans_clique_Echecs" dataDxfId="31"/>
    <tableColumn id="53" xr3:uid="{08DA683B-888E-4E80-995F-B0FCB42FE51B}" name="DS_sans_clique_Temps_BR" dataDxfId="30"/>
    <tableColumn id="54" xr3:uid="{709AB07F-9915-4037-B532-0534DB236F27}" name="DS_sans_clique_Temps_AC" dataDxfId="29"/>
    <tableColumn id="55" xr3:uid="{061CF5A2-FD91-443B-A015-BAC3F43D2F5F}" name="DS_sans_clique_Temps_FC" dataDxfId="28"/>
    <tableColumn id="56" xr3:uid="{27ED7BDA-E44D-439E-BC59-B1519B0BC382}" name="clique_max/nb var" dataDxfId="27">
      <calculatedColumnFormula>Graphes[[#This Row],[Max clique (lb)]]/Graphes[[#This Row],[Nb var]]</calculatedColumnFormula>
    </tableColumn>
    <tableColumn id="57" xr3:uid="{F05CE97C-832A-4A19-932B-3ED1535AFEB8}" name="taille" dataDxfId="26">
      <calculatedColumnFormula>Graphes[[#This Row],[Nb contraintes]]*Graphes[[#This Row],[ub]]*Graphes[[#This Row],[ub]]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8E743-545F-4EE4-B9CD-589D8A11EC6A}" name="Table2" displayName="Table2" ref="R2:W60" totalsRowShown="0" headerRowDxfId="25">
  <autoFilter ref="R2:W60" xr:uid="{03CD33D6-7710-46D6-93B5-0D760E2C60F8}"/>
  <sortState ref="R3:W60">
    <sortCondition ref="S2:S60"/>
  </sortState>
  <tableColumns count="6">
    <tableColumn id="1" xr3:uid="{E4EB7FE6-65D3-4C96-88F2-F3EC4247DD67}" name="Instance"/>
    <tableColumn id="2" xr3:uid="{55669C7B-3195-44D4-8961-8A7AFF43822B}" name="Taille de l'instance">
      <calculatedColumnFormula>VLOOKUP($R3,Graphes[],5,FALSE)*VLOOKUP($R3,Graphes[],7,FALSE)*VLOOKUP($R3,Graphes[],7,FALSE)</calculatedColumnFormula>
    </tableColumn>
    <tableColumn id="3" xr3:uid="{07F3BE1B-080E-45B1-8AEA-6B7C0C08FD19}" name="FC" dataDxfId="24">
      <calculatedColumnFormula>IF(VLOOKUP($R3,Graphes[],40,FALSE)&gt;0,VLOOKUP($R3,Graphes[],42,FALSE),"non")</calculatedColumnFormula>
    </tableColumn>
    <tableColumn id="4" xr3:uid="{38C0D1BE-5676-4E4D-B1AD-986C00F4323E}" name="FC + AC de tps en tps 2" dataDxfId="23">
      <calculatedColumnFormula>IF(VLOOKUP($R3,Graphes[],32,FALSE)&gt;0,VLOOKUP($R3,Graphes[],34,FALSE),"non")</calculatedColumnFormula>
    </tableColumn>
    <tableColumn id="5" xr3:uid="{060AD34D-156E-42C3-BB9D-E1A12518970C}" name="FC + AC de tps en tps" dataDxfId="22">
      <calculatedColumnFormula>IF(VLOOKUP($R3,Graphes[],24,FALSE)&gt;0,VLOOKUP($R3,Graphes[],26,FALSE),"non")</calculatedColumnFormula>
    </tableColumn>
    <tableColumn id="6" xr3:uid="{3C591559-84EB-44D9-A948-35CB7C5A3A2A}" name="DS" dataDxfId="21">
      <calculatedColumnFormula>IF(VLOOKUP($R3,Graphes[],8,FALSE)&gt;0,VLOOKUP($R3,Graphes[],10,FALSE),"non")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D9A68-AD3A-478E-9E36-0AED10C6C2EC}" name="Opti" displayName="Opti" ref="A4:AQ62" totalsRowShown="0">
  <autoFilter ref="A4:AQ62" xr:uid="{7D6C2E01-B12C-4DE6-9705-1A8D2B10F5BD}"/>
  <sortState ref="A5:AQ62">
    <sortCondition descending="1" ref="AL4:AL62"/>
  </sortState>
  <tableColumns count="43">
    <tableColumn id="1" xr3:uid="{0D9883E1-41D6-4E8F-AECE-63B52E551071}" name="Instance"/>
    <tableColumn id="24" xr3:uid="{14ECF8FF-E206-4C08-9668-BD38FADD636E}" name="nb contraintes" dataDxfId="20"/>
    <tableColumn id="25" xr3:uid="{82BF9E4F-A7CE-44BB-9DA6-E7CA287C37F7}" name="domaine max" dataDxfId="19"/>
    <tableColumn id="26" xr3:uid="{3AF260AD-3EB5-4076-BC73-D0E50B72C970}" name="taille" dataDxfId="18">
      <calculatedColumnFormula>Opti[[#This Row],[nb contraintes]]*Opti[[#This Row],[domaine max]]*Opti[[#This Row],[domaine max]]</calculatedColumnFormula>
    </tableColumn>
    <tableColumn id="2" xr3:uid="{69992279-3BA7-416B-9CCA-9806D1372D93}" name="Opt"/>
    <tableColumn id="27" xr3:uid="{C227437D-962A-43BB-9DEA-75D9CF508822}" name="Max clique" dataDxfId="17"/>
    <tableColumn id="3" xr3:uid="{AF63E75B-182C-4AC2-9C61-08088E28FDFD}" name="DS_Solution"/>
    <tableColumn id="4" xr3:uid="{A9359CB2-B7B8-4F29-BB26-BE3B0DACB813}" name="DS_Opt_trouvé"/>
    <tableColumn id="5" xr3:uid="{D9FC2038-B560-44CA-BB74-CE12E6D01FCB}" name="DS_Temps"/>
    <tableColumn id="6" xr3:uid="{544785C5-69FC-48AC-BA39-C424D2678855}" name="DS_Itérations"/>
    <tableColumn id="7" xr3:uid="{11B1D16D-249E-4CB6-8533-6B4D97C0D925}" name="DS_Temps_par_ itération"/>
    <tableColumn id="21" xr3:uid="{C426A602-6BEC-4A50-ACD2-7C06A2DC06E7}" name="DS_Tps_dernière_it"/>
    <tableColumn id="8" xr3:uid="{9185EAEB-A34E-4406-9443-C15C8F0D1E9D}" name="DS_Couleurs_par_itération"/>
    <tableColumn id="9" xr3:uid="{CB41A86B-A2FC-48EC-8AC7-57FFD67DF4E7}" name="FC_Solution"/>
    <tableColumn id="10" xr3:uid="{C9AA1521-F428-475B-AFDF-2C3C3DA850CC}" name="FC_Opt_trouvé"/>
    <tableColumn id="11" xr3:uid="{A4166615-1E23-4274-83B0-F433E65C626A}" name="FC_Temps"/>
    <tableColumn id="12" xr3:uid="{E8E4BF72-A465-42FE-A8C2-E898539C4166}" name="FC_Itérations"/>
    <tableColumn id="13" xr3:uid="{B3402AAF-F1C1-42B5-8E34-7AB91E856A22}" name="FC_Temps_par_ itération"/>
    <tableColumn id="22" xr3:uid="{10B0ECEA-E85A-42DD-8F3A-0CC57A57AF8C}" name="FC_Tps_dernière_it" dataDxfId="16"/>
    <tableColumn id="14" xr3:uid="{008FFC82-DF65-40AF-BF14-62CBEE90998D}" name="FC_Couleurs_par_itération"/>
    <tableColumn id="15" xr3:uid="{D750E1C8-C1E0-4E43-87F6-4E26C05F55D4}" name="FC_AC_Solution"/>
    <tableColumn id="16" xr3:uid="{308E8661-1A4A-4E5A-B0AF-A2050FC33155}" name="FC_AC_Opt_trouvé"/>
    <tableColumn id="17" xr3:uid="{2F68714A-C150-4365-9EF5-700885A7A4FC}" name="FC_AC_Temps"/>
    <tableColumn id="18" xr3:uid="{BAAE5F32-1CC1-4CAE-8BD1-02E6A3CC161F}" name="FC_AC_Itérations"/>
    <tableColumn id="19" xr3:uid="{E12C9DE0-6311-414B-911A-633D5514B8C2}" name="FC_AC_Temps_par_ itération"/>
    <tableColumn id="23" xr3:uid="{16214F57-3E86-48F5-A0FC-48C6E03A377A}" name="FC_AC_Tps_dernière_it" dataDxfId="15"/>
    <tableColumn id="20" xr3:uid="{13517DFC-D671-4563-BF58-ADE02FD41385}" name="FC_AC_Couleurs_par_itération"/>
    <tableColumn id="28" xr3:uid="{1C90E7B4-F2C2-4A78-AE24-13B641582E04}" name="FC_AC_30_Solution" dataDxfId="14"/>
    <tableColumn id="29" xr3:uid="{487C0D01-D7DC-48B0-94BA-89A6D8CD4CDA}" name="FC_AC_30_Opt_trouvé"/>
    <tableColumn id="30" xr3:uid="{9B06008B-BE8D-46FE-AB42-F3B2D94686C4}" name="FC_AC_30_Temps" dataDxfId="13"/>
    <tableColumn id="31" xr3:uid="{5740E2E2-AC28-4634-9B42-7D605E3F512F}" name="FC_AC_30_Itérations" dataDxfId="12"/>
    <tableColumn id="32" xr3:uid="{5714C781-8771-4F1D-90D3-9AB8F78B0BC5}" name="FC_AC_30_Temps_par_ itération" dataDxfId="11"/>
    <tableColumn id="33" xr3:uid="{3032EEF6-A42B-48FC-9501-9B7989C3EB38}" name="FC_AC_30_Tps_dernière_it" dataDxfId="10"/>
    <tableColumn id="34" xr3:uid="{93806993-81FF-4E1A-A732-43834F00F69B}" name="FC_AC_30_Couleurs_par_itération" dataDxfId="9"/>
    <tableColumn id="35" xr3:uid="{61C84DD7-C571-4062-963E-61C98A41A00D}" name="FC_AC_30_Noeuds_par_itération" dataDxfId="8"/>
    <tableColumn id="36" xr3:uid="{A576CD43-CFF2-47FF-A186-18188201D693}" name="FC_AC_30_sans_clique_Solution" dataDxfId="7"/>
    <tableColumn id="37" xr3:uid="{A79EC857-8BED-445A-A58D-49C28E03A0FF}" name="FC_AC_30_sans_clique_Opt_trouvé" dataDxfId="6">
      <calculatedColumnFormula>IF(Opti[[#This Row],[FC_AC_30_sans_clique_Solution]]&gt;0,TRUE,FALSE)</calculatedColumnFormula>
    </tableColumn>
    <tableColumn id="38" xr3:uid="{E23B9B32-A044-4B5D-824E-A81ECB681725}" name="FC_AC_30_sans_clique_Temps" dataDxfId="5"/>
    <tableColumn id="39" xr3:uid="{F0BC5642-019F-4D74-8AE2-485F3DEAE68E}" name="FC_AC_30_sans_clique_Itérations" dataDxfId="4"/>
    <tableColumn id="40" xr3:uid="{45CD4624-A96F-4B34-830E-713B97649833}" name="FC_AC_30_sans_clique_Temps_par_ itération" dataDxfId="3"/>
    <tableColumn id="41" xr3:uid="{E67B4B92-BB2E-4199-B401-7FF8440A5CC6}" name="FC_AC_30_sans_clique_Tps_dernière_it" dataDxfId="2"/>
    <tableColumn id="42" xr3:uid="{39E1888D-BBAE-4872-951C-C2231CC18B46}" name="FC_AC_30_sans_clique_Couleurs_par_itération" dataDxfId="1"/>
    <tableColumn id="43" xr3:uid="{FCC9AF13-A42F-43E0-B99B-C234F8B33FB7}" name="FC_AC_30_sans_clique_Noeuds_par_ité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2E-CAAD-4B50-A801-CF5941BFB7CE}">
  <dimension ref="A1:BE62"/>
  <sheetViews>
    <sheetView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X23" sqref="X23"/>
    </sheetView>
  </sheetViews>
  <sheetFormatPr baseColWidth="10" defaultColWidth="11.5703125" defaultRowHeight="15" x14ac:dyDescent="0.25"/>
  <cols>
    <col min="1" max="1" width="16.28515625" bestFit="1" customWidth="1"/>
    <col min="2" max="2" width="7.7109375" customWidth="1"/>
    <col min="3" max="3" width="7.7109375" style="2" customWidth="1"/>
    <col min="4" max="7" width="7.7109375" customWidth="1"/>
    <col min="9" max="10" width="7.7109375" customWidth="1"/>
    <col min="11" max="11" width="7.7109375" style="2" customWidth="1"/>
    <col min="12" max="13" width="7.7109375" customWidth="1"/>
    <col min="14" max="16" width="7.7109375" style="2" customWidth="1"/>
    <col min="17" max="18" width="7.7109375" customWidth="1"/>
    <col min="19" max="19" width="7.7109375" style="2" customWidth="1"/>
    <col min="20" max="21" width="7.7109375" customWidth="1"/>
    <col min="22" max="24" width="7.7109375" style="2" customWidth="1"/>
    <col min="25" max="26" width="7.7109375" customWidth="1"/>
    <col min="27" max="27" width="7.7109375" style="2" customWidth="1"/>
    <col min="28" max="29" width="7.7109375" customWidth="1"/>
    <col min="30" max="32" width="7.7109375" style="2" customWidth="1"/>
    <col min="33" max="34" width="7.7109375" customWidth="1"/>
    <col min="35" max="35" width="7.7109375" style="2" customWidth="1"/>
    <col min="36" max="37" width="7.7109375" customWidth="1"/>
    <col min="38" max="40" width="7.7109375" style="2" customWidth="1"/>
    <col min="41" max="42" width="7.7109375" customWidth="1"/>
    <col min="43" max="43" width="7.7109375" style="2" customWidth="1"/>
    <col min="44" max="45" width="7.7109375" customWidth="1"/>
    <col min="46" max="48" width="7.7109375" style="2" customWidth="1"/>
    <col min="49" max="56" width="7.7109375" customWidth="1"/>
    <col min="57" max="57" width="8.85546875" customWidth="1"/>
  </cols>
  <sheetData>
    <row r="1" spans="1:5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</row>
    <row r="2" spans="1:57" x14ac:dyDescent="0.25">
      <c r="C2" s="2" t="s">
        <v>13</v>
      </c>
      <c r="H2" s="4" t="s">
        <v>14</v>
      </c>
      <c r="I2" s="4"/>
      <c r="J2" s="2"/>
      <c r="L2" s="2"/>
      <c r="M2" s="2"/>
      <c r="P2" s="4" t="s">
        <v>504</v>
      </c>
      <c r="Q2" s="4"/>
      <c r="R2" s="2"/>
      <c r="T2" s="2"/>
      <c r="U2" s="2"/>
      <c r="X2" s="4" t="s">
        <v>381</v>
      </c>
      <c r="Y2" s="4"/>
      <c r="Z2" s="2"/>
      <c r="AB2" s="2"/>
      <c r="AC2" s="2"/>
      <c r="AF2" s="4" t="s">
        <v>604</v>
      </c>
      <c r="AG2" s="4"/>
      <c r="AH2" s="2"/>
      <c r="AJ2" s="2"/>
      <c r="AK2" s="2"/>
      <c r="AN2" s="4" t="s">
        <v>6</v>
      </c>
      <c r="AO2" s="4"/>
      <c r="AP2" s="2"/>
      <c r="AR2" s="2"/>
      <c r="AS2" s="2"/>
      <c r="AV2" s="4" t="s">
        <v>105</v>
      </c>
      <c r="AW2" s="4"/>
      <c r="AX2" s="2"/>
      <c r="AY2" s="2"/>
      <c r="AZ2" s="2"/>
      <c r="BA2" s="2"/>
      <c r="BB2" s="2"/>
      <c r="BC2" s="2"/>
    </row>
    <row r="3" spans="1:57" x14ac:dyDescent="0.25">
      <c r="A3" t="s">
        <v>7</v>
      </c>
      <c r="B3" t="s">
        <v>15</v>
      </c>
      <c r="C3" s="2" t="s">
        <v>76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s="3" t="s">
        <v>5</v>
      </c>
      <c r="K3" t="s">
        <v>4</v>
      </c>
      <c r="L3" t="s">
        <v>3</v>
      </c>
      <c r="M3" s="2" t="s">
        <v>2</v>
      </c>
      <c r="N3" s="2" t="s">
        <v>1</v>
      </c>
      <c r="O3" s="2" t="s">
        <v>0</v>
      </c>
      <c r="P3" t="s">
        <v>12</v>
      </c>
      <c r="R3" s="3" t="s">
        <v>5</v>
      </c>
      <c r="S3" t="s">
        <v>4</v>
      </c>
      <c r="T3" t="s">
        <v>3</v>
      </c>
      <c r="U3" s="2" t="s">
        <v>2</v>
      </c>
      <c r="V3" s="2" t="s">
        <v>1</v>
      </c>
      <c r="W3" s="2" t="s">
        <v>0</v>
      </c>
      <c r="X3" t="s">
        <v>12</v>
      </c>
      <c r="Z3" s="3" t="s">
        <v>5</v>
      </c>
      <c r="AA3" t="s">
        <v>4</v>
      </c>
      <c r="AB3" t="s">
        <v>3</v>
      </c>
      <c r="AC3" s="2" t="s">
        <v>2</v>
      </c>
      <c r="AD3" s="2" t="s">
        <v>1</v>
      </c>
      <c r="AE3" s="2" t="s">
        <v>0</v>
      </c>
      <c r="AF3" t="s">
        <v>12</v>
      </c>
      <c r="AH3" s="3" t="s">
        <v>5</v>
      </c>
      <c r="AI3" t="s">
        <v>4</v>
      </c>
      <c r="AJ3" t="s">
        <v>3</v>
      </c>
      <c r="AK3" s="2" t="s">
        <v>2</v>
      </c>
      <c r="AL3" s="2" t="s">
        <v>1</v>
      </c>
      <c r="AM3" s="2" t="s">
        <v>0</v>
      </c>
      <c r="AN3" t="s">
        <v>12</v>
      </c>
      <c r="AP3" s="3" t="s">
        <v>5</v>
      </c>
      <c r="AQ3" t="s">
        <v>4</v>
      </c>
      <c r="AR3" t="s">
        <v>3</v>
      </c>
      <c r="AS3" s="2" t="s">
        <v>2</v>
      </c>
      <c r="AT3" s="2" t="s">
        <v>1</v>
      </c>
      <c r="AU3" s="2" t="s">
        <v>0</v>
      </c>
      <c r="AV3" t="s">
        <v>12</v>
      </c>
      <c r="AX3" s="3" t="s">
        <v>5</v>
      </c>
      <c r="AY3" t="s">
        <v>4</v>
      </c>
      <c r="AZ3" t="s">
        <v>3</v>
      </c>
      <c r="BA3" s="2" t="s">
        <v>2</v>
      </c>
      <c r="BB3" s="2" t="s">
        <v>1</v>
      </c>
      <c r="BC3" s="2" t="s">
        <v>0</v>
      </c>
    </row>
    <row r="4" spans="1:57" x14ac:dyDescent="0.25">
      <c r="A4" t="s">
        <v>7</v>
      </c>
      <c r="B4" t="s">
        <v>15</v>
      </c>
      <c r="C4" s="2" t="s">
        <v>76</v>
      </c>
      <c r="D4" t="s">
        <v>8</v>
      </c>
      <c r="E4" t="s">
        <v>9</v>
      </c>
      <c r="F4" t="s">
        <v>10</v>
      </c>
      <c r="G4" t="s">
        <v>11</v>
      </c>
      <c r="H4" t="s">
        <v>77</v>
      </c>
      <c r="I4" t="s">
        <v>100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505</v>
      </c>
      <c r="Q4" t="s">
        <v>506</v>
      </c>
      <c r="R4" t="s">
        <v>507</v>
      </c>
      <c r="S4" t="s">
        <v>508</v>
      </c>
      <c r="T4" t="s">
        <v>509</v>
      </c>
      <c r="U4" t="s">
        <v>510</v>
      </c>
      <c r="V4" t="s">
        <v>511</v>
      </c>
      <c r="W4" t="s">
        <v>512</v>
      </c>
      <c r="X4" t="s">
        <v>388</v>
      </c>
      <c r="Y4" t="s">
        <v>498</v>
      </c>
      <c r="Z4" t="s">
        <v>383</v>
      </c>
      <c r="AA4" t="s">
        <v>499</v>
      </c>
      <c r="AB4" t="s">
        <v>500</v>
      </c>
      <c r="AC4" t="s">
        <v>501</v>
      </c>
      <c r="AD4" t="s">
        <v>502</v>
      </c>
      <c r="AE4" t="s">
        <v>503</v>
      </c>
      <c r="AF4" t="s">
        <v>84</v>
      </c>
      <c r="AG4" t="s">
        <v>101</v>
      </c>
      <c r="AH4" t="s">
        <v>85</v>
      </c>
      <c r="AI4" t="s">
        <v>86</v>
      </c>
      <c r="AJ4" t="s">
        <v>87</v>
      </c>
      <c r="AK4" t="s">
        <v>88</v>
      </c>
      <c r="AL4" t="s">
        <v>89</v>
      </c>
      <c r="AM4" t="s">
        <v>90</v>
      </c>
      <c r="AN4" t="s">
        <v>91</v>
      </c>
      <c r="AO4" t="s">
        <v>102</v>
      </c>
      <c r="AP4" t="s">
        <v>92</v>
      </c>
      <c r="AQ4" t="s">
        <v>93</v>
      </c>
      <c r="AR4" t="s">
        <v>94</v>
      </c>
      <c r="AS4" t="s">
        <v>95</v>
      </c>
      <c r="AT4" t="s">
        <v>96</v>
      </c>
      <c r="AU4" t="s">
        <v>97</v>
      </c>
      <c r="AV4" t="s">
        <v>106</v>
      </c>
      <c r="AW4" t="s">
        <v>107</v>
      </c>
      <c r="AX4" t="s">
        <v>108</v>
      </c>
      <c r="AY4" t="s">
        <v>109</v>
      </c>
      <c r="AZ4" t="s">
        <v>110</v>
      </c>
      <c r="BA4" t="s">
        <v>111</v>
      </c>
      <c r="BB4" t="s">
        <v>112</v>
      </c>
      <c r="BC4" t="s">
        <v>113</v>
      </c>
      <c r="BD4" t="s">
        <v>114</v>
      </c>
      <c r="BE4" t="s">
        <v>377</v>
      </c>
    </row>
    <row r="5" spans="1:57" x14ac:dyDescent="0.25">
      <c r="A5" t="s">
        <v>28</v>
      </c>
      <c r="B5">
        <v>30</v>
      </c>
      <c r="C5" s="2">
        <v>366.33604717254599</v>
      </c>
      <c r="D5">
        <v>451</v>
      </c>
      <c r="E5">
        <v>8340</v>
      </c>
      <c r="F5">
        <v>27</v>
      </c>
      <c r="G5">
        <v>347</v>
      </c>
      <c r="H5">
        <v>33</v>
      </c>
      <c r="I5" s="5">
        <f>(Graphes[[#This Row],[DS_Solution]]-Graphes[[#This Row],[Opt]])/Graphes[[#This Row],[Opt]]</f>
        <v>0.1</v>
      </c>
      <c r="J5" s="2">
        <v>64.955965995788503</v>
      </c>
      <c r="K5">
        <v>953</v>
      </c>
      <c r="L5">
        <v>264</v>
      </c>
      <c r="M5" s="2">
        <v>6.8783376216888401</v>
      </c>
      <c r="N5" s="2">
        <v>0</v>
      </c>
      <c r="O5" s="2">
        <v>57.622980833053496</v>
      </c>
      <c r="P5">
        <v>30</v>
      </c>
      <c r="Q5" s="5">
        <f>(Graphes[[#This Row],[FC_AC_30_sans_clique_Solution]]-Graphes[[#This Row],[Opt]])/Graphes[[#This Row],[Opt]]</f>
        <v>0</v>
      </c>
      <c r="R5">
        <v>96.947584390640202</v>
      </c>
      <c r="S5">
        <v>452</v>
      </c>
      <c r="T5">
        <v>0</v>
      </c>
      <c r="U5">
        <v>5.00152134895324</v>
      </c>
      <c r="V5">
        <v>83.345220088958698</v>
      </c>
      <c r="W5">
        <v>8.0269072055816597</v>
      </c>
      <c r="X5">
        <v>30</v>
      </c>
      <c r="Y5" s="5">
        <f>(Graphes[[#This Row],[FC_AC_30_Solution]]-Graphes[[#This Row],[Opt]])/Graphes[[#This Row],[Opt]]</f>
        <v>0</v>
      </c>
      <c r="Z5" s="2">
        <v>94.106369733810396</v>
      </c>
      <c r="AA5">
        <v>425</v>
      </c>
      <c r="AB5">
        <v>0</v>
      </c>
      <c r="AC5" s="2">
        <v>4.74218678474426</v>
      </c>
      <c r="AD5" s="2">
        <v>84.792981386184593</v>
      </c>
      <c r="AE5" s="2">
        <v>4.1680612564086896</v>
      </c>
      <c r="AF5">
        <v>0</v>
      </c>
      <c r="AG5" s="5">
        <f>(Graphes[[#This Row],[FC_AC_Solution]]-Graphes[[#This Row],[Opt]])/Graphes[[#This Row],[Opt]]</f>
        <v>-1</v>
      </c>
      <c r="AH5" s="2">
        <v>151.89698386192299</v>
      </c>
      <c r="AI5">
        <v>0</v>
      </c>
      <c r="AJ5">
        <v>0</v>
      </c>
      <c r="AK5" s="2">
        <v>0</v>
      </c>
      <c r="AL5" s="2">
        <v>0</v>
      </c>
      <c r="AM5" s="2">
        <v>0</v>
      </c>
      <c r="AN5">
        <v>33</v>
      </c>
      <c r="AO5" s="5">
        <f>(Graphes[[#This Row],[FC_Solution]]-Graphes[[#This Row],[Opt]])/Graphes[[#This Row],[Opt]]</f>
        <v>0.1</v>
      </c>
      <c r="AP5" s="2">
        <v>96.298388242721501</v>
      </c>
      <c r="AQ5">
        <v>953</v>
      </c>
      <c r="AR5">
        <v>264</v>
      </c>
      <c r="AS5" s="2">
        <v>73.474132537841797</v>
      </c>
      <c r="AT5" s="2">
        <v>0</v>
      </c>
      <c r="AU5" s="2">
        <v>22.353536128997799</v>
      </c>
      <c r="AV5" s="7">
        <v>30</v>
      </c>
      <c r="AW5" s="5">
        <f>(Graphes[[#This Row],[DS_sans_clique_Solution]]-Graphes[Opt])/Graphes[Opt]</f>
        <v>0</v>
      </c>
      <c r="AX5" s="2">
        <v>40.551770925521801</v>
      </c>
      <c r="AY5" s="2">
        <v>452</v>
      </c>
      <c r="AZ5" s="2">
        <v>0</v>
      </c>
      <c r="BA5" s="2">
        <v>5.01234579086303</v>
      </c>
      <c r="BB5" s="2">
        <v>0</v>
      </c>
      <c r="BC5" s="2">
        <v>35.028926610946598</v>
      </c>
      <c r="BD5" s="5">
        <f>Graphes[[#This Row],[Max clique (lb)]]/Graphes[[#This Row],[Nb var]]</f>
        <v>5.9866962305986697E-2</v>
      </c>
      <c r="BE5" s="7">
        <f>Graphes[[#This Row],[Nb contraintes]]*Graphes[[#This Row],[ub]]*Graphes[[#This Row],[ub]]</f>
        <v>1004211060</v>
      </c>
    </row>
    <row r="6" spans="1:57" x14ac:dyDescent="0.25">
      <c r="A6" t="s">
        <v>70</v>
      </c>
      <c r="B6">
        <v>65</v>
      </c>
      <c r="C6" s="2">
        <v>152.29165601730301</v>
      </c>
      <c r="D6">
        <v>496</v>
      </c>
      <c r="E6">
        <v>10708</v>
      </c>
      <c r="F6">
        <v>44</v>
      </c>
      <c r="G6">
        <v>253</v>
      </c>
      <c r="H6">
        <v>65</v>
      </c>
      <c r="I6" s="5">
        <f>(Graphes[[#This Row],[DS_Solution]]-Graphes[[#This Row],[Opt]])/Graphes[[#This Row],[Opt]]</f>
        <v>0</v>
      </c>
      <c r="J6" s="2">
        <v>24.556789159774699</v>
      </c>
      <c r="K6">
        <v>4683</v>
      </c>
      <c r="L6">
        <v>2115</v>
      </c>
      <c r="M6" s="2">
        <v>20.478060245513898</v>
      </c>
      <c r="N6" s="2">
        <v>0</v>
      </c>
      <c r="O6" s="2">
        <v>3.2911105155944802</v>
      </c>
      <c r="P6">
        <v>65</v>
      </c>
      <c r="Q6" s="5">
        <f>(Graphes[[#This Row],[FC_AC_30_sans_clique_Solution]]-Graphes[[#This Row],[Opt]])/Graphes[[#This Row],[Opt]]</f>
        <v>0</v>
      </c>
      <c r="R6">
        <v>83.044509172439504</v>
      </c>
      <c r="S6">
        <v>497</v>
      </c>
      <c r="T6">
        <v>0</v>
      </c>
      <c r="U6">
        <v>42.962564706802297</v>
      </c>
      <c r="V6">
        <v>38.459444046020501</v>
      </c>
      <c r="W6">
        <v>1.2647452354431099</v>
      </c>
      <c r="X6">
        <v>65</v>
      </c>
      <c r="Y6" s="5">
        <f>(Graphes[[#This Row],[FC_AC_30_Solution]]-Graphes[[#This Row],[Opt]])/Graphes[[#This Row],[Opt]]</f>
        <v>0</v>
      </c>
      <c r="Z6" s="2">
        <v>81.582326412200899</v>
      </c>
      <c r="AA6">
        <v>453</v>
      </c>
      <c r="AB6">
        <v>0</v>
      </c>
      <c r="AC6" s="2">
        <v>25.741052150726301</v>
      </c>
      <c r="AD6" s="2">
        <v>54.459613084792998</v>
      </c>
      <c r="AE6" s="2">
        <v>1.1278116703033401</v>
      </c>
      <c r="AF6">
        <v>65</v>
      </c>
      <c r="AG6" s="5">
        <f>(Graphes[[#This Row],[FC_AC_Solution]]-Graphes[[#This Row],[Opt]])/Graphes[[#This Row],[Opt]]</f>
        <v>0</v>
      </c>
      <c r="AH6" s="2">
        <v>87.3468914031982</v>
      </c>
      <c r="AI6">
        <v>453</v>
      </c>
      <c r="AJ6">
        <v>0</v>
      </c>
      <c r="AK6" s="2">
        <v>2.9162073135375901</v>
      </c>
      <c r="AL6" s="2">
        <v>83.863028764724703</v>
      </c>
      <c r="AM6" s="2">
        <v>0.37876462936401301</v>
      </c>
      <c r="AN6">
        <v>65</v>
      </c>
      <c r="AO6" s="5">
        <f>(Graphes[[#This Row],[FC_Solution]]-Graphes[[#This Row],[Opt]])/Graphes[[#This Row],[Opt]]</f>
        <v>0</v>
      </c>
      <c r="AP6" s="2">
        <v>40.518105983734102</v>
      </c>
      <c r="AQ6">
        <v>4683</v>
      </c>
      <c r="AR6">
        <v>2115</v>
      </c>
      <c r="AS6" s="2">
        <v>36.588486909866297</v>
      </c>
      <c r="AT6" s="2">
        <v>0</v>
      </c>
      <c r="AU6" s="2">
        <v>3.0610713958740199</v>
      </c>
      <c r="AV6" s="7">
        <v>65</v>
      </c>
      <c r="AW6" s="5">
        <f>(Graphes[[#This Row],[DS_sans_clique_Solution]]-Graphes[Opt])/Graphes[Opt]</f>
        <v>0</v>
      </c>
      <c r="AX6" s="2">
        <v>10.194608926773</v>
      </c>
      <c r="AY6" s="2">
        <v>497</v>
      </c>
      <c r="AZ6" s="2">
        <v>0</v>
      </c>
      <c r="BA6" s="2">
        <v>4.3952057361602703</v>
      </c>
      <c r="BB6" s="2">
        <v>0</v>
      </c>
      <c r="BC6" s="2">
        <v>5.5334610939025799</v>
      </c>
      <c r="BD6" s="5">
        <f>Graphes[[#This Row],[Max clique (lb)]]/Graphes[[#This Row],[Nb var]]</f>
        <v>8.8709677419354843E-2</v>
      </c>
      <c r="BE6" s="7">
        <f>Graphes[[#This Row],[Nb contraintes]]*Graphes[[#This Row],[ub]]*Graphes[[#This Row],[ub]]</f>
        <v>685408372</v>
      </c>
    </row>
    <row r="7" spans="1:57" x14ac:dyDescent="0.25">
      <c r="A7" t="s">
        <v>22</v>
      </c>
      <c r="B7" t="s">
        <v>16</v>
      </c>
      <c r="C7" s="2">
        <v>2.6948690414428701E-2</v>
      </c>
      <c r="D7">
        <v>125</v>
      </c>
      <c r="E7">
        <v>75</v>
      </c>
      <c r="F7">
        <v>5</v>
      </c>
      <c r="G7">
        <v>14</v>
      </c>
      <c r="H7">
        <v>7</v>
      </c>
      <c r="I7" s="5" t="e">
        <f>(Graphes[[#This Row],[DS_Solution]]-Graphes[[#This Row],[Opt]])/Graphes[[#This Row],[Opt]]</f>
        <v>#VALUE!</v>
      </c>
      <c r="J7" s="2">
        <v>2.8444766998290998E-2</v>
      </c>
      <c r="K7">
        <v>127</v>
      </c>
      <c r="L7">
        <v>3</v>
      </c>
      <c r="M7" s="2">
        <v>2.2953033447265601E-2</v>
      </c>
      <c r="N7" s="2">
        <v>0</v>
      </c>
      <c r="O7" s="2">
        <v>4.9877166748046799E-4</v>
      </c>
      <c r="P7">
        <v>6</v>
      </c>
      <c r="Q7" s="5" t="e">
        <f>(Graphes[[#This Row],[FC_AC_30_sans_clique_Solution]]-Graphes[[#This Row],[Opt]])/Graphes[[#This Row],[Opt]]</f>
        <v>#VALUE!</v>
      </c>
      <c r="R7">
        <v>2.9982566833496E-2</v>
      </c>
      <c r="S7">
        <v>126</v>
      </c>
      <c r="T7">
        <v>0</v>
      </c>
      <c r="U7">
        <v>2.39853858947753E-2</v>
      </c>
      <c r="V7">
        <v>1.9984245300292899E-3</v>
      </c>
      <c r="W7">
        <v>0</v>
      </c>
      <c r="X7">
        <v>6</v>
      </c>
      <c r="Y7" s="5" t="e">
        <f>(Graphes[[#This Row],[FC_AC_30_Solution]]-Graphes[[#This Row],[Opt]])/Graphes[[#This Row],[Opt]]</f>
        <v>#VALUE!</v>
      </c>
      <c r="Z7" s="2">
        <v>3.7976026535034103E-2</v>
      </c>
      <c r="AA7">
        <v>121</v>
      </c>
      <c r="AB7">
        <v>0</v>
      </c>
      <c r="AC7" s="2">
        <v>2.3984432220458901E-2</v>
      </c>
      <c r="AD7" s="2">
        <v>2.9976367950439401E-3</v>
      </c>
      <c r="AE7" s="2">
        <v>1.9991397857665998E-3</v>
      </c>
      <c r="AF7">
        <v>6</v>
      </c>
      <c r="AG7" s="5" t="e">
        <f>(Graphes[[#This Row],[FC_AC_Solution]]-Graphes[[#This Row],[Opt]])/Graphes[[#This Row],[Opt]]</f>
        <v>#VALUE!</v>
      </c>
      <c r="AH7" s="2">
        <v>5.3398370742797803E-2</v>
      </c>
      <c r="AI7">
        <v>121</v>
      </c>
      <c r="AJ7">
        <v>0</v>
      </c>
      <c r="AK7" s="2">
        <v>3.7929058074951102E-2</v>
      </c>
      <c r="AL7" s="2">
        <v>7.9841613769531198E-3</v>
      </c>
      <c r="AM7" s="2">
        <v>9.9825859069824197E-4</v>
      </c>
      <c r="AN7">
        <v>7</v>
      </c>
      <c r="AO7" s="5" t="e">
        <f>(Graphes[[#This Row],[FC_Solution]]-Graphes[[#This Row],[Opt]])/Graphes[[#This Row],[Opt]]</f>
        <v>#VALUE!</v>
      </c>
      <c r="AP7" s="2">
        <v>4.1919469833374003E-2</v>
      </c>
      <c r="AQ7">
        <v>127</v>
      </c>
      <c r="AR7">
        <v>3</v>
      </c>
      <c r="AS7" s="2">
        <v>3.2938241958618102E-2</v>
      </c>
      <c r="AT7" s="2">
        <v>0</v>
      </c>
      <c r="AU7" s="2">
        <v>0</v>
      </c>
      <c r="AV7" s="7">
        <v>6</v>
      </c>
      <c r="AW7" s="5" t="e">
        <f>(Graphes[[#This Row],[DS_sans_clique_Solution]]-Graphes[Opt])/Graphes[Opt]</f>
        <v>#VALUE!</v>
      </c>
      <c r="AX7" s="2">
        <v>3.0940294265747001E-2</v>
      </c>
      <c r="AY7" s="2">
        <v>126</v>
      </c>
      <c r="AZ7" s="2">
        <v>0</v>
      </c>
      <c r="BA7" s="2">
        <v>2.5949478149414E-2</v>
      </c>
      <c r="BB7" s="2">
        <v>0</v>
      </c>
      <c r="BC7" s="2">
        <v>4.9924850463867101E-4</v>
      </c>
      <c r="BD7" s="5">
        <f>Graphes[[#This Row],[Max clique (lb)]]/Graphes[[#This Row],[Nb var]]</f>
        <v>0.04</v>
      </c>
      <c r="BE7" s="2">
        <f>Graphes[[#This Row],[Nb contraintes]]*Graphes[[#This Row],[ub]]*Graphes[[#This Row],[ub]]</f>
        <v>14700</v>
      </c>
    </row>
    <row r="8" spans="1:57" x14ac:dyDescent="0.25">
      <c r="A8" t="s">
        <v>29</v>
      </c>
      <c r="B8">
        <v>30</v>
      </c>
      <c r="C8" s="2">
        <v>665.79991149902298</v>
      </c>
      <c r="D8">
        <v>425</v>
      </c>
      <c r="E8">
        <v>8363</v>
      </c>
      <c r="F8">
        <v>26</v>
      </c>
      <c r="G8">
        <v>347</v>
      </c>
      <c r="H8">
        <v>32</v>
      </c>
      <c r="I8" s="5">
        <f>(Graphes[[#This Row],[DS_Solution]]-Graphes[[#This Row],[Opt]])/Graphes[[#This Row],[Opt]]</f>
        <v>6.6666666666666666E-2</v>
      </c>
      <c r="J8" s="2">
        <v>48.941218376159597</v>
      </c>
      <c r="K8">
        <v>1208</v>
      </c>
      <c r="L8">
        <v>404</v>
      </c>
      <c r="M8" s="2">
        <v>6.1256136894226003</v>
      </c>
      <c r="N8" s="2">
        <v>0</v>
      </c>
      <c r="O8" s="2">
        <v>42.4039146900177</v>
      </c>
      <c r="P8">
        <v>30</v>
      </c>
      <c r="Q8" s="5">
        <f>(Graphes[[#This Row],[FC_AC_30_sans_clique_Solution]]-Graphes[[#This Row],[Opt]])/Graphes[[#This Row],[Opt]]</f>
        <v>0</v>
      </c>
      <c r="R8">
        <v>100.02054691314601</v>
      </c>
      <c r="S8">
        <v>426</v>
      </c>
      <c r="T8">
        <v>0</v>
      </c>
      <c r="U8">
        <v>4.0928783416748002</v>
      </c>
      <c r="V8">
        <v>87.536533117294297</v>
      </c>
      <c r="W8">
        <v>7.5691123008728001</v>
      </c>
      <c r="X8">
        <v>0</v>
      </c>
      <c r="Y8" s="5">
        <f>(Graphes[[#This Row],[FC_AC_30_Solution]]-Graphes[[#This Row],[Opt]])/Graphes[[#This Row],[Opt]]</f>
        <v>-1</v>
      </c>
      <c r="Z8" s="2">
        <v>120.411280870437</v>
      </c>
      <c r="AA8">
        <v>0</v>
      </c>
      <c r="AB8">
        <v>0</v>
      </c>
      <c r="AC8" s="2">
        <v>0</v>
      </c>
      <c r="AD8" s="2">
        <v>0</v>
      </c>
      <c r="AE8" s="2">
        <v>0</v>
      </c>
      <c r="AF8">
        <v>0</v>
      </c>
      <c r="AG8" s="5">
        <f>(Graphes[[#This Row],[FC_AC_Solution]]-Graphes[[#This Row],[Opt]])/Graphes[[#This Row],[Opt]]</f>
        <v>-1</v>
      </c>
      <c r="AH8" s="2">
        <v>134.85353183746301</v>
      </c>
      <c r="AI8">
        <v>0</v>
      </c>
      <c r="AJ8">
        <v>0</v>
      </c>
      <c r="AK8" s="2">
        <v>0</v>
      </c>
      <c r="AL8" s="2">
        <v>0</v>
      </c>
      <c r="AM8" s="2">
        <v>0</v>
      </c>
      <c r="AN8">
        <v>32</v>
      </c>
      <c r="AO8" s="5">
        <f>(Graphes[[#This Row],[FC_Solution]]-Graphes[[#This Row],[Opt]])/Graphes[[#This Row],[Opt]]</f>
        <v>6.6666666666666666E-2</v>
      </c>
      <c r="AP8" s="2">
        <v>36.417584657669003</v>
      </c>
      <c r="AQ8">
        <v>1208</v>
      </c>
      <c r="AR8">
        <v>404</v>
      </c>
      <c r="AS8" s="2">
        <v>5.4237496852874703</v>
      </c>
      <c r="AT8" s="2">
        <v>0</v>
      </c>
      <c r="AU8" s="2">
        <v>30.571671009063699</v>
      </c>
      <c r="AV8" s="7">
        <v>30</v>
      </c>
      <c r="AW8" s="5">
        <f>(Graphes[[#This Row],[DS_sans_clique_Solution]]-Graphes[Opt])/Graphes[Opt]</f>
        <v>0</v>
      </c>
      <c r="AX8" s="2">
        <v>42.458855152130099</v>
      </c>
      <c r="AY8" s="2">
        <v>426</v>
      </c>
      <c r="AZ8" s="2">
        <v>0</v>
      </c>
      <c r="BA8" s="2">
        <v>4.35929226875305</v>
      </c>
      <c r="BB8" s="2">
        <v>0</v>
      </c>
      <c r="BC8" s="2">
        <v>37.683310031890798</v>
      </c>
      <c r="BD8" s="5">
        <f>Graphes[[#This Row],[Max clique (lb)]]/Graphes[[#This Row],[Nb var]]</f>
        <v>6.1176470588235297E-2</v>
      </c>
      <c r="BE8" s="7">
        <f>Graphes[[#This Row],[Nb contraintes]]*Graphes[[#This Row],[ub]]*Graphes[[#This Row],[ub]]</f>
        <v>1006980467</v>
      </c>
    </row>
    <row r="9" spans="1:57" x14ac:dyDescent="0.25">
      <c r="A9" t="s">
        <v>31</v>
      </c>
      <c r="B9">
        <v>13</v>
      </c>
      <c r="C9" s="2">
        <v>105.486697435379</v>
      </c>
      <c r="D9">
        <v>561</v>
      </c>
      <c r="E9">
        <v>3146</v>
      </c>
      <c r="F9">
        <v>11</v>
      </c>
      <c r="G9">
        <v>100</v>
      </c>
      <c r="H9">
        <v>13</v>
      </c>
      <c r="I9" s="5">
        <f>(Graphes[[#This Row],[DS_Solution]]-Graphes[[#This Row],[Opt]])/Graphes[[#This Row],[Opt]]</f>
        <v>0</v>
      </c>
      <c r="J9" s="2">
        <v>2.2607355117797798</v>
      </c>
      <c r="K9">
        <v>579</v>
      </c>
      <c r="L9">
        <v>14</v>
      </c>
      <c r="M9" s="2">
        <v>1.8290259838104199</v>
      </c>
      <c r="N9" s="2">
        <v>0</v>
      </c>
      <c r="O9" s="2">
        <v>0.24506950378417899</v>
      </c>
      <c r="P9">
        <v>13</v>
      </c>
      <c r="Q9" s="5">
        <f>(Graphes[[#This Row],[FC_AC_30_sans_clique_Solution]]-Graphes[[#This Row],[Opt]])/Graphes[[#This Row],[Opt]]</f>
        <v>0</v>
      </c>
      <c r="R9" s="2">
        <v>3.1818943023681601</v>
      </c>
      <c r="S9">
        <v>562</v>
      </c>
      <c r="T9">
        <v>0</v>
      </c>
      <c r="U9" s="2">
        <v>2.34462547302246</v>
      </c>
      <c r="V9" s="2">
        <v>0.59315681457519498</v>
      </c>
      <c r="W9" s="2">
        <v>7.7949047088623005E-2</v>
      </c>
      <c r="X9">
        <v>13</v>
      </c>
      <c r="Y9" s="5">
        <f>(Graphes[[#This Row],[FC_AC_30_Solution]]-Graphes[[#This Row],[Opt]])/Graphes[[#This Row],[Opt]]</f>
        <v>0</v>
      </c>
      <c r="Z9" s="2">
        <v>3.0656890869140598</v>
      </c>
      <c r="AA9">
        <v>551</v>
      </c>
      <c r="AB9">
        <v>0</v>
      </c>
      <c r="AC9" s="2">
        <v>2.2439830303192099</v>
      </c>
      <c r="AD9" s="2">
        <v>0.58186078071594205</v>
      </c>
      <c r="AE9" s="2">
        <v>7.29496479034423E-2</v>
      </c>
      <c r="AF9">
        <v>13</v>
      </c>
      <c r="AG9" s="5">
        <f>(Graphes[[#This Row],[FC_AC_Solution]]-Graphes[[#This Row],[Opt]])/Graphes[[#This Row],[Opt]]</f>
        <v>0</v>
      </c>
      <c r="AH9" s="2">
        <v>4.0567862987518302</v>
      </c>
      <c r="AI9">
        <v>551</v>
      </c>
      <c r="AJ9">
        <v>0</v>
      </c>
      <c r="AK9" s="2">
        <v>1.9277901649475</v>
      </c>
      <c r="AL9" s="2">
        <v>1.9113736152648899</v>
      </c>
      <c r="AM9" s="2">
        <v>6.2381029129028299E-2</v>
      </c>
      <c r="AN9">
        <v>13</v>
      </c>
      <c r="AO9" s="5">
        <f>(Graphes[[#This Row],[FC_Solution]]-Graphes[[#This Row],[Opt]])/Graphes[[#This Row],[Opt]]</f>
        <v>0</v>
      </c>
      <c r="AP9" s="2">
        <v>5.0301816463470397</v>
      </c>
      <c r="AQ9">
        <v>579</v>
      </c>
      <c r="AR9">
        <v>14</v>
      </c>
      <c r="AS9" s="2">
        <v>4.8095808029174796</v>
      </c>
      <c r="AT9" s="2">
        <v>0</v>
      </c>
      <c r="AU9" s="2">
        <v>5.93857765197753E-2</v>
      </c>
      <c r="AV9" s="7">
        <v>13</v>
      </c>
      <c r="AW9" s="5">
        <f>(Graphes[[#This Row],[DS_sans_clique_Solution]]-Graphes[Opt])/Graphes[Opt]</f>
        <v>0</v>
      </c>
      <c r="AX9" s="2">
        <v>3.4089453220367401</v>
      </c>
      <c r="AY9" s="2">
        <v>562</v>
      </c>
      <c r="AZ9" s="2">
        <v>0</v>
      </c>
      <c r="BA9" s="2">
        <v>3.1559245586395201</v>
      </c>
      <c r="BB9" s="2">
        <v>0</v>
      </c>
      <c r="BC9" s="2">
        <v>7.3654890060424805E-2</v>
      </c>
      <c r="BD9" s="5">
        <f>Graphes[[#This Row],[Max clique (lb)]]/Graphes[[#This Row],[Nb var]]</f>
        <v>1.9607843137254902E-2</v>
      </c>
      <c r="BE9" s="7">
        <f>Graphes[[#This Row],[Nb contraintes]]*Graphes[[#This Row],[ub]]*Graphes[[#This Row],[ub]]</f>
        <v>31460000</v>
      </c>
    </row>
    <row r="10" spans="1:57" x14ac:dyDescent="0.25">
      <c r="A10" t="s">
        <v>68</v>
      </c>
      <c r="B10">
        <v>30</v>
      </c>
      <c r="C10" s="2">
        <v>15.615328550338701</v>
      </c>
      <c r="D10">
        <v>211</v>
      </c>
      <c r="E10">
        <v>3163</v>
      </c>
      <c r="F10">
        <v>28</v>
      </c>
      <c r="G10">
        <v>141</v>
      </c>
      <c r="H10">
        <v>30</v>
      </c>
      <c r="I10" s="5">
        <f>(Graphes[[#This Row],[DS_Solution]]-Graphes[[#This Row],[Opt]])/Graphes[[#This Row],[Opt]]</f>
        <v>0</v>
      </c>
      <c r="J10" s="2">
        <v>2.8532345294952299</v>
      </c>
      <c r="K10">
        <v>3674</v>
      </c>
      <c r="L10">
        <v>1745</v>
      </c>
      <c r="M10" s="2">
        <v>2.60041904449462</v>
      </c>
      <c r="N10" s="2">
        <v>0</v>
      </c>
      <c r="O10" s="2">
        <v>9.6934556961059501E-2</v>
      </c>
      <c r="P10">
        <v>30</v>
      </c>
      <c r="Q10" s="5">
        <f>(Graphes[[#This Row],[FC_AC_30_sans_clique_Solution]]-Graphes[[#This Row],[Opt]])/Graphes[[#This Row],[Opt]]</f>
        <v>0</v>
      </c>
      <c r="R10" s="2">
        <v>1.38792324066162</v>
      </c>
      <c r="S10">
        <v>212</v>
      </c>
      <c r="T10">
        <v>0</v>
      </c>
      <c r="U10" s="2">
        <v>0.33608603477478</v>
      </c>
      <c r="V10" s="2">
        <v>0.88794589042663497</v>
      </c>
      <c r="W10" s="2">
        <v>0.129914045333862</v>
      </c>
      <c r="X10">
        <v>30</v>
      </c>
      <c r="Y10" s="5">
        <f>(Graphes[[#This Row],[FC_AC_30_Solution]]-Graphes[[#This Row],[Opt]])/Graphes[[#This Row],[Opt]]</f>
        <v>0</v>
      </c>
      <c r="Z10" s="2">
        <v>2.42268514633178</v>
      </c>
      <c r="AA10">
        <v>184</v>
      </c>
      <c r="AB10">
        <v>0</v>
      </c>
      <c r="AC10" s="2">
        <v>0.214061498641967</v>
      </c>
      <c r="AD10" s="2">
        <v>2.1536481380462602</v>
      </c>
      <c r="AE10" s="2">
        <v>3.4979581832885701E-2</v>
      </c>
      <c r="AF10">
        <v>30</v>
      </c>
      <c r="AG10" s="5">
        <f>(Graphes[[#This Row],[FC_AC_Solution]]-Graphes[[#This Row],[Opt]])/Graphes[[#This Row],[Opt]]</f>
        <v>0</v>
      </c>
      <c r="AH10" s="2">
        <v>3.8626077175140301</v>
      </c>
      <c r="AI10">
        <v>184</v>
      </c>
      <c r="AJ10">
        <v>0</v>
      </c>
      <c r="AK10" s="2">
        <v>0.25185251235961897</v>
      </c>
      <c r="AL10" s="2">
        <v>3.54279232025146</v>
      </c>
      <c r="AM10" s="2">
        <v>3.79755496978759E-2</v>
      </c>
      <c r="AN10">
        <v>30</v>
      </c>
      <c r="AO10" s="5">
        <f>(Graphes[[#This Row],[FC_Solution]]-Graphes[[#This Row],[Opt]])/Graphes[[#This Row],[Opt]]</f>
        <v>0</v>
      </c>
      <c r="AP10" s="2">
        <v>2.8742306232452299</v>
      </c>
      <c r="AQ10">
        <v>3674</v>
      </c>
      <c r="AR10">
        <v>1745</v>
      </c>
      <c r="AS10" s="2">
        <v>2.6113917827606201</v>
      </c>
      <c r="AT10" s="2">
        <v>0</v>
      </c>
      <c r="AU10" s="2">
        <v>9.1941595077514607E-2</v>
      </c>
      <c r="AV10" s="7">
        <v>30</v>
      </c>
      <c r="AW10" s="5">
        <f>(Graphes[[#This Row],[DS_sans_clique_Solution]]-Graphes[Opt])/Graphes[Opt]</f>
        <v>0</v>
      </c>
      <c r="AX10" s="2">
        <v>0.42618942260742099</v>
      </c>
      <c r="AY10" s="2">
        <v>212</v>
      </c>
      <c r="AZ10" s="2">
        <v>0</v>
      </c>
      <c r="BA10" s="2">
        <v>0.27899360656738198</v>
      </c>
      <c r="BB10" s="2">
        <v>0</v>
      </c>
      <c r="BC10" s="2">
        <v>0.125242710113525</v>
      </c>
      <c r="BD10" s="5">
        <f>Graphes[[#This Row],[Max clique (lb)]]/Graphes[[#This Row],[Nb var]]</f>
        <v>0.13270142180094788</v>
      </c>
      <c r="BE10" s="7">
        <f>Graphes[[#This Row],[Nb contraintes]]*Graphes[[#This Row],[ub]]*Graphes[[#This Row],[ub]]</f>
        <v>62883603</v>
      </c>
    </row>
    <row r="11" spans="1:57" x14ac:dyDescent="0.25">
      <c r="A11" t="s">
        <v>69</v>
      </c>
      <c r="B11">
        <v>30</v>
      </c>
      <c r="C11" s="2">
        <v>14.623941183090199</v>
      </c>
      <c r="D11">
        <v>206</v>
      </c>
      <c r="E11">
        <v>3162</v>
      </c>
      <c r="F11">
        <v>28</v>
      </c>
      <c r="G11">
        <v>141</v>
      </c>
      <c r="H11">
        <v>30</v>
      </c>
      <c r="I11" s="5">
        <f>(Graphes[[#This Row],[DS_Solution]]-Graphes[[#This Row],[Opt]])/Graphes[[#This Row],[Opt]]</f>
        <v>0</v>
      </c>
      <c r="J11" s="2">
        <v>2.6153793334960902</v>
      </c>
      <c r="K11">
        <v>3609</v>
      </c>
      <c r="L11">
        <v>1715</v>
      </c>
      <c r="M11" s="2">
        <v>2.3645431995391801</v>
      </c>
      <c r="N11" s="2">
        <v>0</v>
      </c>
      <c r="O11" s="2">
        <v>8.2947254180908203E-2</v>
      </c>
      <c r="P11">
        <v>30</v>
      </c>
      <c r="Q11" s="5">
        <f>(Graphes[[#This Row],[FC_AC_30_sans_clique_Solution]]-Graphes[[#This Row],[Opt]])/Graphes[[#This Row],[Opt]]</f>
        <v>0</v>
      </c>
      <c r="R11" s="2">
        <v>1.2979092597961399</v>
      </c>
      <c r="S11">
        <v>207</v>
      </c>
      <c r="T11">
        <v>0</v>
      </c>
      <c r="U11" s="2">
        <v>0.29181551933288502</v>
      </c>
      <c r="V11" s="2">
        <v>0.852713823318481</v>
      </c>
      <c r="W11" s="2">
        <v>0.12739086151123</v>
      </c>
      <c r="X11">
        <v>30</v>
      </c>
      <c r="Y11" s="5">
        <f>(Graphes[[#This Row],[FC_AC_30_Solution]]-Graphes[[#This Row],[Opt]])/Graphes[[#This Row],[Opt]]</f>
        <v>0</v>
      </c>
      <c r="Z11" s="2">
        <v>2.2927122116088801</v>
      </c>
      <c r="AA11">
        <v>179</v>
      </c>
      <c r="AB11">
        <v>0</v>
      </c>
      <c r="AC11" s="2">
        <v>0.199163198471069</v>
      </c>
      <c r="AD11" s="2">
        <v>2.0415883064270002</v>
      </c>
      <c r="AE11" s="2">
        <v>3.89695167541503E-2</v>
      </c>
      <c r="AF11">
        <v>30</v>
      </c>
      <c r="AG11" s="5">
        <f>(Graphes[[#This Row],[FC_AC_Solution]]-Graphes[[#This Row],[Opt]])/Graphes[[#This Row],[Opt]]</f>
        <v>0</v>
      </c>
      <c r="AH11" s="2">
        <v>3.4358716011047301</v>
      </c>
      <c r="AI11">
        <v>179</v>
      </c>
      <c r="AJ11">
        <v>0</v>
      </c>
      <c r="AK11" s="2">
        <v>0.21587681770324699</v>
      </c>
      <c r="AL11" s="2">
        <v>3.1700205802917401</v>
      </c>
      <c r="AM11" s="2">
        <v>2.89833545684814E-2</v>
      </c>
      <c r="AN11">
        <v>30</v>
      </c>
      <c r="AO11" s="5">
        <f>(Graphes[[#This Row],[FC_Solution]]-Graphes[[#This Row],[Opt]])/Graphes[[#This Row],[Opt]]</f>
        <v>0</v>
      </c>
      <c r="AP11">
        <v>2.7053360939025799</v>
      </c>
      <c r="AQ11">
        <v>3609</v>
      </c>
      <c r="AR11">
        <v>1715</v>
      </c>
      <c r="AS11">
        <v>2.4704711437225302</v>
      </c>
      <c r="AT11">
        <v>0</v>
      </c>
      <c r="AU11">
        <v>7.2955131530761705E-2</v>
      </c>
      <c r="AV11" s="7">
        <v>30</v>
      </c>
      <c r="AW11" s="5">
        <f>(Graphes[[#This Row],[DS_sans_clique_Solution]]-Graphes[Opt])/Graphes[Opt]</f>
        <v>0</v>
      </c>
      <c r="AX11" s="2">
        <v>0.39075660705566401</v>
      </c>
      <c r="AY11" s="2">
        <v>207</v>
      </c>
      <c r="AZ11" s="2">
        <v>0</v>
      </c>
      <c r="BA11" s="2">
        <v>0.24553585052490201</v>
      </c>
      <c r="BB11" s="2">
        <v>0</v>
      </c>
      <c r="BC11" s="2">
        <v>0.12626624107360801</v>
      </c>
      <c r="BD11" s="5">
        <f>Graphes[[#This Row],[Max clique (lb)]]/Graphes[[#This Row],[Nb var]]</f>
        <v>0.13592233009708737</v>
      </c>
      <c r="BE11" s="7">
        <f>Graphes[[#This Row],[Nb contraintes]]*Graphes[[#This Row],[ub]]*Graphes[[#This Row],[ub]]</f>
        <v>62863722</v>
      </c>
    </row>
    <row r="12" spans="1:57" x14ac:dyDescent="0.25">
      <c r="A12" t="s">
        <v>36</v>
      </c>
      <c r="B12">
        <v>25</v>
      </c>
      <c r="C12" s="2">
        <v>70.361307859420705</v>
      </c>
      <c r="D12">
        <v>450</v>
      </c>
      <c r="E12">
        <v>7984</v>
      </c>
      <c r="F12">
        <v>24</v>
      </c>
      <c r="G12">
        <v>129</v>
      </c>
      <c r="H12">
        <v>25</v>
      </c>
      <c r="I12" s="5">
        <f>(Graphes[[#This Row],[DS_Solution]]-Graphes[[#This Row],[Opt]])/Graphes[[#This Row],[Opt]]</f>
        <v>0</v>
      </c>
      <c r="J12" s="2">
        <v>3.0757775306701598</v>
      </c>
      <c r="K12">
        <v>761</v>
      </c>
      <c r="L12">
        <v>167</v>
      </c>
      <c r="M12" s="2">
        <v>1.7843773365020701</v>
      </c>
      <c r="N12" s="2">
        <v>0</v>
      </c>
      <c r="O12" s="2">
        <v>1.1621623039245601</v>
      </c>
      <c r="P12">
        <v>25</v>
      </c>
      <c r="Q12" s="5">
        <f>(Graphes[[#This Row],[FC_AC_30_sans_clique_Solution]]-Graphes[[#This Row],[Opt]])/Graphes[[#This Row],[Opt]]</f>
        <v>0</v>
      </c>
      <c r="R12" s="2">
        <v>5.7276141643524099</v>
      </c>
      <c r="S12">
        <v>451</v>
      </c>
      <c r="T12">
        <v>0</v>
      </c>
      <c r="U12" s="2">
        <v>2.4307937622070299</v>
      </c>
      <c r="V12" s="2">
        <v>2.9279360771179199</v>
      </c>
      <c r="W12" s="2">
        <v>0.26081371307373002</v>
      </c>
      <c r="X12">
        <v>25</v>
      </c>
      <c r="Y12" s="5">
        <f>(Graphes[[#This Row],[FC_AC_30_Solution]]-Graphes[[#This Row],[Opt]])/Graphes[[#This Row],[Opt]]</f>
        <v>0</v>
      </c>
      <c r="Z12" s="2">
        <v>8.6049776077270508</v>
      </c>
      <c r="AA12">
        <v>427</v>
      </c>
      <c r="AB12">
        <v>0</v>
      </c>
      <c r="AC12" s="2">
        <v>2.0545365810394198</v>
      </c>
      <c r="AD12" s="2">
        <v>6.2176647186279297</v>
      </c>
      <c r="AE12" s="2">
        <v>0.233833312988281</v>
      </c>
      <c r="AF12">
        <v>25</v>
      </c>
      <c r="AG12" s="5">
        <f>(Graphes[[#This Row],[FC_AC_Solution]]-Graphes[[#This Row],[Opt]])/Graphes[[#This Row],[Opt]]</f>
        <v>0</v>
      </c>
      <c r="AH12" s="2">
        <v>21.347915887832599</v>
      </c>
      <c r="AI12">
        <v>427</v>
      </c>
      <c r="AJ12">
        <v>0</v>
      </c>
      <c r="AK12" s="2">
        <v>1.0934426784515301</v>
      </c>
      <c r="AL12" s="2">
        <v>19.943069219589201</v>
      </c>
      <c r="AM12" s="2">
        <v>0.205602407455444</v>
      </c>
      <c r="AN12">
        <v>25</v>
      </c>
      <c r="AO12" s="5">
        <f>(Graphes[[#This Row],[FC_Solution]]-Graphes[[#This Row],[Opt]])/Graphes[[#This Row],[Opt]]</f>
        <v>0</v>
      </c>
      <c r="AP12" s="2">
        <v>1.8499832153320299</v>
      </c>
      <c r="AQ12">
        <v>761</v>
      </c>
      <c r="AR12">
        <v>167</v>
      </c>
      <c r="AS12" s="2">
        <v>1.4836690425872801</v>
      </c>
      <c r="AT12" s="2">
        <v>0</v>
      </c>
      <c r="AU12" s="2">
        <v>0.240555524826049</v>
      </c>
      <c r="AV12" s="7">
        <v>25</v>
      </c>
      <c r="AW12" s="5">
        <f>(Graphes[[#This Row],[DS_sans_clique_Solution]]-Graphes[Opt])/Graphes[Opt]</f>
        <v>0</v>
      </c>
      <c r="AX12" s="2">
        <v>2.3739831447601301</v>
      </c>
      <c r="AY12" s="2">
        <v>451</v>
      </c>
      <c r="AZ12" s="2">
        <v>0</v>
      </c>
      <c r="BA12" s="2">
        <v>2.0226600170135498</v>
      </c>
      <c r="BB12" s="2">
        <v>0</v>
      </c>
      <c r="BC12" s="2">
        <v>0.24103355407714799</v>
      </c>
      <c r="BD12" s="5">
        <f>Graphes[[#This Row],[Max clique (lb)]]/Graphes[[#This Row],[Nb var]]</f>
        <v>5.3333333333333337E-2</v>
      </c>
      <c r="BE12" s="7">
        <f>Graphes[[#This Row],[Nb contraintes]]*Graphes[[#This Row],[ub]]*Graphes[[#This Row],[ub]]</f>
        <v>132861744</v>
      </c>
    </row>
    <row r="13" spans="1:57" x14ac:dyDescent="0.25">
      <c r="A13" t="s">
        <v>34</v>
      </c>
      <c r="B13">
        <v>15</v>
      </c>
      <c r="C13" s="2">
        <v>52.603490352630601</v>
      </c>
      <c r="D13">
        <v>450</v>
      </c>
      <c r="E13">
        <v>8063</v>
      </c>
      <c r="F13">
        <v>15</v>
      </c>
      <c r="G13">
        <v>100</v>
      </c>
      <c r="H13">
        <v>17</v>
      </c>
      <c r="I13" s="5">
        <f>(Graphes[[#This Row],[DS_Solution]]-Graphes[[#This Row],[Opt]])/Graphes[[#This Row],[Opt]]</f>
        <v>0.13333333333333333</v>
      </c>
      <c r="J13" s="2">
        <v>2.0541584491729701</v>
      </c>
      <c r="K13">
        <v>562</v>
      </c>
      <c r="L13">
        <v>63</v>
      </c>
      <c r="M13" s="2">
        <v>1.1427187919616699</v>
      </c>
      <c r="N13" s="2">
        <v>0</v>
      </c>
      <c r="O13" s="2">
        <v>0.80268621444702104</v>
      </c>
      <c r="P13">
        <v>17</v>
      </c>
      <c r="Q13" s="5">
        <f>(Graphes[[#This Row],[FC_AC_30_sans_clique_Solution]]-Graphes[[#This Row],[Opt]])/Graphes[[#This Row],[Opt]]</f>
        <v>0.13333333333333333</v>
      </c>
      <c r="R13" s="2">
        <v>3.7802917957305899</v>
      </c>
      <c r="S13">
        <v>451</v>
      </c>
      <c r="T13">
        <v>0</v>
      </c>
      <c r="U13" s="2">
        <v>1.74340844154357</v>
      </c>
      <c r="V13" s="2">
        <v>1.7410757541656401</v>
      </c>
      <c r="W13" s="2">
        <v>0.192862033843994</v>
      </c>
      <c r="X13">
        <v>16</v>
      </c>
      <c r="Y13" s="5">
        <f>(Graphes[[#This Row],[FC_AC_30_Solution]]-Graphes[[#This Row],[Opt]])/Graphes[[#This Row],[Opt]]</f>
        <v>6.6666666666666666E-2</v>
      </c>
      <c r="Z13" s="2">
        <v>5.0485103130340496</v>
      </c>
      <c r="AA13">
        <v>436</v>
      </c>
      <c r="AB13">
        <v>0</v>
      </c>
      <c r="AC13" s="2">
        <v>1.5226302146911599</v>
      </c>
      <c r="AD13" s="2">
        <v>3.2198107242584202</v>
      </c>
      <c r="AE13" s="2">
        <v>0.20213079452514601</v>
      </c>
      <c r="AF13">
        <v>16</v>
      </c>
      <c r="AG13" s="5">
        <f>(Graphes[[#This Row],[FC_AC_Solution]]-Graphes[[#This Row],[Opt]])/Graphes[[#This Row],[Opt]]</f>
        <v>6.6666666666666666E-2</v>
      </c>
      <c r="AH13" s="2">
        <v>13.309240579605101</v>
      </c>
      <c r="AI13">
        <v>436</v>
      </c>
      <c r="AJ13">
        <v>0</v>
      </c>
      <c r="AK13" s="2">
        <v>0.94326567649841297</v>
      </c>
      <c r="AL13" s="2">
        <v>12.085532903671201</v>
      </c>
      <c r="AM13" s="2">
        <v>0.172648429870605</v>
      </c>
      <c r="AN13">
        <v>17</v>
      </c>
      <c r="AO13" s="5">
        <f>(Graphes[[#This Row],[FC_Solution]]-Graphes[[#This Row],[Opt]])/Graphes[[#This Row],[Opt]]</f>
        <v>0.13333333333333333</v>
      </c>
      <c r="AP13" s="2">
        <v>1.7656447887420601</v>
      </c>
      <c r="AQ13">
        <v>562</v>
      </c>
      <c r="AR13">
        <v>63</v>
      </c>
      <c r="AS13" s="2">
        <v>1.4148268699645901</v>
      </c>
      <c r="AT13" s="2">
        <v>0</v>
      </c>
      <c r="AU13" s="2">
        <v>0.23103451728820801</v>
      </c>
      <c r="AV13" s="7">
        <v>17</v>
      </c>
      <c r="AW13" s="5">
        <f>(Graphes[[#This Row],[DS_sans_clique_Solution]]-Graphes[Opt])/Graphes[Opt]</f>
        <v>0.13333333333333333</v>
      </c>
      <c r="AX13" s="2">
        <v>1.78061199188232</v>
      </c>
      <c r="AY13" s="2">
        <v>451</v>
      </c>
      <c r="AZ13" s="2">
        <v>0</v>
      </c>
      <c r="BA13" s="2">
        <v>1.4889717102050699</v>
      </c>
      <c r="BB13" s="2">
        <v>0</v>
      </c>
      <c r="BC13" s="2">
        <v>0.19133973121643</v>
      </c>
      <c r="BD13" s="5">
        <f>Graphes[[#This Row],[Max clique (lb)]]/Graphes[[#This Row],[Nb var]]</f>
        <v>3.3333333333333333E-2</v>
      </c>
      <c r="BE13" s="7">
        <f>Graphes[[#This Row],[Nb contraintes]]*Graphes[[#This Row],[ub]]*Graphes[[#This Row],[ub]]</f>
        <v>80630000</v>
      </c>
    </row>
    <row r="14" spans="1:57" x14ac:dyDescent="0.25">
      <c r="A14" t="s">
        <v>44</v>
      </c>
      <c r="B14">
        <v>31</v>
      </c>
      <c r="C14" s="2">
        <v>8.5452551841735804</v>
      </c>
      <c r="D14">
        <v>128</v>
      </c>
      <c r="E14">
        <v>3576</v>
      </c>
      <c r="F14">
        <v>26</v>
      </c>
      <c r="G14">
        <v>65</v>
      </c>
      <c r="H14">
        <v>33</v>
      </c>
      <c r="I14" s="5">
        <f>(Graphes[[#This Row],[DS_Solution]]-Graphes[[#This Row],[Opt]])/Graphes[[#This Row],[Opt]]</f>
        <v>6.4516129032258063E-2</v>
      </c>
      <c r="J14" s="2">
        <v>0.16867780685424799</v>
      </c>
      <c r="K14">
        <v>595</v>
      </c>
      <c r="L14">
        <v>246</v>
      </c>
      <c r="M14" s="2">
        <v>0.111289024353027</v>
      </c>
      <c r="N14" s="2">
        <v>0</v>
      </c>
      <c r="O14" s="2">
        <v>4.34207916259765E-2</v>
      </c>
      <c r="P14">
        <v>31</v>
      </c>
      <c r="Q14" s="5">
        <f>(Graphes[[#This Row],[FC_AC_30_sans_clique_Solution]]-Graphes[[#This Row],[Opt]])/Graphes[[#This Row],[Opt]]</f>
        <v>0</v>
      </c>
      <c r="R14" s="2">
        <v>0.90488672256469704</v>
      </c>
      <c r="S14">
        <v>129</v>
      </c>
      <c r="T14">
        <v>0</v>
      </c>
      <c r="U14" s="2">
        <v>6.3961267471313393E-2</v>
      </c>
      <c r="V14" s="2">
        <v>0.78195881843566895</v>
      </c>
      <c r="W14" s="2">
        <v>4.9969673156738198E-2</v>
      </c>
      <c r="X14">
        <v>31</v>
      </c>
      <c r="Y14" s="5">
        <f>(Graphes[[#This Row],[FC_AC_30_Solution]]-Graphes[[#This Row],[Opt]])/Graphes[[#This Row],[Opt]]</f>
        <v>0</v>
      </c>
      <c r="Z14" s="2">
        <v>1.63077139854431</v>
      </c>
      <c r="AA14">
        <v>103</v>
      </c>
      <c r="AB14">
        <v>0</v>
      </c>
      <c r="AC14" s="2">
        <v>4.6968221664428697E-2</v>
      </c>
      <c r="AD14" s="2">
        <v>1.5428249835968</v>
      </c>
      <c r="AE14" s="2">
        <v>3.6980152130126898E-2</v>
      </c>
      <c r="AF14">
        <v>31</v>
      </c>
      <c r="AG14" s="5">
        <f>(Graphes[[#This Row],[FC_AC_Solution]]-Graphes[[#This Row],[Opt]])/Graphes[[#This Row],[Opt]]</f>
        <v>0</v>
      </c>
      <c r="AH14" s="2">
        <v>8.2248647212982107</v>
      </c>
      <c r="AI14">
        <v>103</v>
      </c>
      <c r="AJ14">
        <v>0</v>
      </c>
      <c r="AK14" s="2">
        <v>4.1917324066162102E-2</v>
      </c>
      <c r="AL14" s="2">
        <v>8.1475074291229195</v>
      </c>
      <c r="AM14" s="2">
        <v>2.99525260925292E-2</v>
      </c>
      <c r="AN14">
        <v>33</v>
      </c>
      <c r="AO14" s="5">
        <f>(Graphes[[#This Row],[FC_Solution]]-Graphes[[#This Row],[Opt]])/Graphes[[#This Row],[Opt]]</f>
        <v>6.4516129032258063E-2</v>
      </c>
      <c r="AP14" s="2">
        <v>1.7182302474975499</v>
      </c>
      <c r="AQ14">
        <v>595</v>
      </c>
      <c r="AR14">
        <v>246</v>
      </c>
      <c r="AS14" s="2">
        <v>1.0849092006683301</v>
      </c>
      <c r="AT14" s="2">
        <v>0</v>
      </c>
      <c r="AU14" s="2">
        <v>0.36382508277893</v>
      </c>
      <c r="AV14" s="7">
        <v>31</v>
      </c>
      <c r="AW14" s="5">
        <f>(Graphes[[#This Row],[DS_sans_clique_Solution]]-Graphes[Opt])/Graphes[Opt]</f>
        <v>0</v>
      </c>
      <c r="AX14" s="2">
        <v>0.12625789642333901</v>
      </c>
      <c r="AY14" s="2">
        <v>129</v>
      </c>
      <c r="AZ14" s="2">
        <v>0</v>
      </c>
      <c r="BA14" s="2">
        <v>5.9887409210205002E-2</v>
      </c>
      <c r="BB14" s="2">
        <v>0</v>
      </c>
      <c r="BC14" s="2">
        <v>5.23972511291503E-2</v>
      </c>
      <c r="BD14" s="5">
        <f>Graphes[[#This Row],[Max clique (lb)]]/Graphes[[#This Row],[Nb var]]</f>
        <v>0.203125</v>
      </c>
      <c r="BE14" s="7">
        <f>Graphes[[#This Row],[Nb contraintes]]*Graphes[[#This Row],[ub]]*Graphes[[#This Row],[ub]]</f>
        <v>15108600</v>
      </c>
    </row>
    <row r="15" spans="1:57" x14ac:dyDescent="0.25">
      <c r="A15" t="s">
        <v>56</v>
      </c>
      <c r="B15" t="s">
        <v>16</v>
      </c>
      <c r="C15" s="2">
        <v>2.5883972644805899</v>
      </c>
      <c r="D15">
        <v>100</v>
      </c>
      <c r="E15">
        <v>2850</v>
      </c>
      <c r="F15">
        <v>10</v>
      </c>
      <c r="G15">
        <v>36</v>
      </c>
      <c r="H15">
        <v>15</v>
      </c>
      <c r="I15" s="5" t="e">
        <f>(Graphes[[#This Row],[DS_Solution]]-Graphes[[#This Row],[Opt]])/Graphes[[#This Row],[Opt]]</f>
        <v>#VALUE!</v>
      </c>
      <c r="J15" s="2">
        <v>6.4957141876220703E-2</v>
      </c>
      <c r="K15">
        <v>147</v>
      </c>
      <c r="L15">
        <v>28</v>
      </c>
      <c r="M15" s="2">
        <v>3.8974046707153299E-2</v>
      </c>
      <c r="N15" s="2">
        <v>0</v>
      </c>
      <c r="O15" s="2">
        <v>2.2984504699707E-2</v>
      </c>
      <c r="P15">
        <v>13</v>
      </c>
      <c r="Q15" s="5" t="e">
        <f>(Graphes[[#This Row],[FC_AC_30_sans_clique_Solution]]-Graphes[[#This Row],[Opt]])/Graphes[[#This Row],[Opt]]</f>
        <v>#VALUE!</v>
      </c>
      <c r="R15" s="2">
        <v>0.219132900238037</v>
      </c>
      <c r="S15">
        <v>101</v>
      </c>
      <c r="T15">
        <v>0</v>
      </c>
      <c r="U15" s="2">
        <v>2.49807834625244E-2</v>
      </c>
      <c r="V15" s="2">
        <v>0.17416501045227001</v>
      </c>
      <c r="W15" s="2">
        <v>1.8987894058227501E-2</v>
      </c>
      <c r="X15">
        <v>13</v>
      </c>
      <c r="Y15" s="5" t="e">
        <f>(Graphes[[#This Row],[FC_AC_30_Solution]]-Graphes[[#This Row],[Opt]])/Graphes[[#This Row],[Opt]]</f>
        <v>#VALUE!</v>
      </c>
      <c r="Z15" s="2">
        <v>0.428997993469238</v>
      </c>
      <c r="AA15">
        <v>91</v>
      </c>
      <c r="AB15">
        <v>0</v>
      </c>
      <c r="AC15" s="2">
        <v>2.0987033843994099E-2</v>
      </c>
      <c r="AD15" s="2">
        <v>0.37902736663818298</v>
      </c>
      <c r="AE15" s="2">
        <v>2.19879150390625E-2</v>
      </c>
      <c r="AF15">
        <v>13</v>
      </c>
      <c r="AG15" s="5" t="e">
        <f>(Graphes[[#This Row],[FC_AC_Solution]]-Graphes[[#This Row],[Opt]])/Graphes[[#This Row],[Opt]]</f>
        <v>#VALUE!</v>
      </c>
      <c r="AH15" s="2">
        <v>2.1006999015808101</v>
      </c>
      <c r="AI15">
        <v>91</v>
      </c>
      <c r="AJ15">
        <v>0</v>
      </c>
      <c r="AK15" s="2">
        <v>4.1977405548095703E-2</v>
      </c>
      <c r="AL15" s="2">
        <v>2.0147502422332701</v>
      </c>
      <c r="AM15" s="2">
        <v>3.9975166320800698E-2</v>
      </c>
      <c r="AN15">
        <v>15</v>
      </c>
      <c r="AO15" s="5" t="e">
        <f>(Graphes[[#This Row],[FC_Solution]]-Graphes[[#This Row],[Opt]])/Graphes[[#This Row],[Opt]]</f>
        <v>#VALUE!</v>
      </c>
      <c r="AP15" s="2">
        <v>4.6971321105956997E-2</v>
      </c>
      <c r="AQ15">
        <v>147</v>
      </c>
      <c r="AR15">
        <v>28</v>
      </c>
      <c r="AS15" s="2">
        <v>2.5987625122070299E-2</v>
      </c>
      <c r="AT15" s="2">
        <v>0</v>
      </c>
      <c r="AU15" s="2">
        <v>1.8986940383911102E-2</v>
      </c>
      <c r="AV15" s="7">
        <v>13</v>
      </c>
      <c r="AW15" s="5" t="e">
        <f>(Graphes[[#This Row],[DS_sans_clique_Solution]]-Graphes[Opt])/Graphes[Opt]</f>
        <v>#VALUE!</v>
      </c>
      <c r="AX15" s="2">
        <v>4.44147586822509E-2</v>
      </c>
      <c r="AY15" s="2">
        <v>101</v>
      </c>
      <c r="AZ15" s="2">
        <v>0</v>
      </c>
      <c r="BA15" s="2">
        <v>1.6467094421386701E-2</v>
      </c>
      <c r="BB15" s="2">
        <v>0</v>
      </c>
      <c r="BC15" s="2">
        <v>2.3957729339599599E-2</v>
      </c>
      <c r="BD15" s="5">
        <f>Graphes[[#This Row],[Max clique (lb)]]/Graphes[[#This Row],[Nb var]]</f>
        <v>0.1</v>
      </c>
      <c r="BE15" s="2">
        <f>Graphes[[#This Row],[Nb contraintes]]*Graphes[[#This Row],[ub]]*Graphes[[#This Row],[ub]]</f>
        <v>3693600</v>
      </c>
    </row>
    <row r="16" spans="1:57" x14ac:dyDescent="0.25">
      <c r="A16" t="s">
        <v>37</v>
      </c>
      <c r="B16">
        <v>25</v>
      </c>
      <c r="C16" s="2">
        <v>54.187638282775801</v>
      </c>
      <c r="D16">
        <v>450</v>
      </c>
      <c r="E16">
        <v>8010</v>
      </c>
      <c r="F16">
        <v>23</v>
      </c>
      <c r="G16">
        <v>112</v>
      </c>
      <c r="H16">
        <v>25</v>
      </c>
      <c r="I16" s="5">
        <f>(Graphes[[#This Row],[DS_Solution]]-Graphes[[#This Row],[Opt]])/Graphes[[#This Row],[Opt]]</f>
        <v>0</v>
      </c>
      <c r="J16" s="2">
        <v>2.60155057907104</v>
      </c>
      <c r="K16">
        <v>744</v>
      </c>
      <c r="L16">
        <v>158</v>
      </c>
      <c r="M16" s="2">
        <v>1.7410590648651101</v>
      </c>
      <c r="N16" s="2">
        <v>0</v>
      </c>
      <c r="O16" s="2">
        <v>0.73373436927795399</v>
      </c>
      <c r="P16">
        <v>25</v>
      </c>
      <c r="Q16" s="5">
        <f>(Graphes[[#This Row],[FC_AC_30_sans_clique_Solution]]-Graphes[[#This Row],[Opt]])/Graphes[[#This Row],[Opt]]</f>
        <v>0</v>
      </c>
      <c r="R16" s="2">
        <v>3.95831847190856</v>
      </c>
      <c r="S16">
        <v>451</v>
      </c>
      <c r="T16">
        <v>0</v>
      </c>
      <c r="U16" s="2">
        <v>1.27099061012268</v>
      </c>
      <c r="V16" s="2">
        <v>2.3235571384429901</v>
      </c>
      <c r="W16" s="2">
        <v>0.24383163452148399</v>
      </c>
      <c r="X16">
        <v>25</v>
      </c>
      <c r="Y16" s="5">
        <f>(Graphes[[#This Row],[FC_AC_30_Solution]]-Graphes[[#This Row],[Opt]])/Graphes[[#This Row],[Opt]]</f>
        <v>0</v>
      </c>
      <c r="Z16" s="2">
        <v>6.0756769180297798</v>
      </c>
      <c r="AA16">
        <v>428</v>
      </c>
      <c r="AB16">
        <v>0</v>
      </c>
      <c r="AC16" s="2">
        <v>1.26807880401611</v>
      </c>
      <c r="AD16" s="2">
        <v>4.46260237693786</v>
      </c>
      <c r="AE16" s="2">
        <v>0.22607660293579099</v>
      </c>
      <c r="AF16">
        <v>25</v>
      </c>
      <c r="AG16" s="5">
        <f>(Graphes[[#This Row],[FC_AC_Solution]]-Graphes[[#This Row],[Opt]])/Graphes[[#This Row],[Opt]]</f>
        <v>0</v>
      </c>
      <c r="AH16" s="2">
        <v>17.8650350570678</v>
      </c>
      <c r="AI16">
        <v>428</v>
      </c>
      <c r="AJ16">
        <v>0</v>
      </c>
      <c r="AK16" s="2">
        <v>1.0540466308593699</v>
      </c>
      <c r="AL16" s="2">
        <v>16.5055558681488</v>
      </c>
      <c r="AM16" s="2">
        <v>0.19613265991210899</v>
      </c>
      <c r="AN16">
        <v>25</v>
      </c>
      <c r="AO16" s="5">
        <f>(Graphes[[#This Row],[FC_Solution]]-Graphes[[#This Row],[Opt]])/Graphes[[#This Row],[Opt]]</f>
        <v>0</v>
      </c>
      <c r="AP16" s="2">
        <v>1.6388804912567101</v>
      </c>
      <c r="AQ16">
        <v>744</v>
      </c>
      <c r="AR16">
        <v>158</v>
      </c>
      <c r="AS16" s="2">
        <v>1.30004405975341</v>
      </c>
      <c r="AT16" s="2">
        <v>0</v>
      </c>
      <c r="AU16" s="2">
        <v>0.22506046295165999</v>
      </c>
      <c r="AV16" s="7">
        <v>25</v>
      </c>
      <c r="AW16" s="5">
        <f>(Graphes[[#This Row],[DS_sans_clique_Solution]]-Graphes[Opt])/Graphes[Opt]</f>
        <v>0</v>
      </c>
      <c r="AX16" s="2">
        <v>1.9597694873809799</v>
      </c>
      <c r="AY16" s="2">
        <v>451</v>
      </c>
      <c r="AZ16" s="2">
        <v>0</v>
      </c>
      <c r="BA16" s="2">
        <v>1.642263174057</v>
      </c>
      <c r="BB16" s="2">
        <v>0</v>
      </c>
      <c r="BC16" s="2">
        <v>0.21410322189330999</v>
      </c>
      <c r="BD16" s="5">
        <f>Graphes[[#This Row],[Max clique (lb)]]/Graphes[[#This Row],[Nb var]]</f>
        <v>5.1111111111111114E-2</v>
      </c>
      <c r="BE16" s="7">
        <f>Graphes[[#This Row],[Nb contraintes]]*Graphes[[#This Row],[ub]]*Graphes[[#This Row],[ub]]</f>
        <v>100477440</v>
      </c>
    </row>
    <row r="17" spans="1:57" x14ac:dyDescent="0.25">
      <c r="A17" t="s">
        <v>58</v>
      </c>
      <c r="B17" t="s">
        <v>16</v>
      </c>
      <c r="C17" s="2">
        <v>8.8924922943115199</v>
      </c>
      <c r="D17">
        <v>144</v>
      </c>
      <c r="E17">
        <v>5060</v>
      </c>
      <c r="F17">
        <v>12</v>
      </c>
      <c r="G17">
        <v>44</v>
      </c>
      <c r="H17">
        <v>18</v>
      </c>
      <c r="I17" s="5" t="e">
        <f>(Graphes[[#This Row],[DS_Solution]]-Graphes[[#This Row],[Opt]])/Graphes[[#This Row],[Opt]]</f>
        <v>#VALUE!</v>
      </c>
      <c r="J17" s="2">
        <v>0.17389106750488201</v>
      </c>
      <c r="K17">
        <v>223</v>
      </c>
      <c r="L17">
        <v>45</v>
      </c>
      <c r="M17" s="2">
        <v>9.1941833496093694E-2</v>
      </c>
      <c r="N17" s="2">
        <v>0</v>
      </c>
      <c r="O17" s="2">
        <v>6.8958044052123996E-2</v>
      </c>
      <c r="P17">
        <v>17</v>
      </c>
      <c r="Q17" s="5" t="e">
        <f>(Graphes[[#This Row],[FC_AC_30_sans_clique_Solution]]-Graphes[[#This Row],[Opt]])/Graphes[[#This Row],[Opt]]</f>
        <v>#VALUE!</v>
      </c>
      <c r="R17" s="2">
        <v>0.55189538002014105</v>
      </c>
      <c r="S17">
        <v>145</v>
      </c>
      <c r="T17">
        <v>0</v>
      </c>
      <c r="U17" s="2">
        <v>5.4204702377319301E-2</v>
      </c>
      <c r="V17" s="2">
        <v>0.43572902679443298</v>
      </c>
      <c r="W17" s="2">
        <v>5.3962230682372998E-2</v>
      </c>
      <c r="X17">
        <v>17</v>
      </c>
      <c r="Y17" s="5" t="e">
        <f>(Graphes[[#This Row],[FC_AC_30_Solution]]-Graphes[[#This Row],[Opt]])/Graphes[[#This Row],[Opt]]</f>
        <v>#VALUE!</v>
      </c>
      <c r="Z17" s="2">
        <v>0.88890838623046797</v>
      </c>
      <c r="AA17">
        <v>133</v>
      </c>
      <c r="AB17">
        <v>0</v>
      </c>
      <c r="AC17" s="2">
        <v>4.2976856231689398E-2</v>
      </c>
      <c r="AD17" s="2">
        <v>0.79296350479125899</v>
      </c>
      <c r="AE17" s="2">
        <v>4.3971538543701102E-2</v>
      </c>
      <c r="AF17">
        <v>17</v>
      </c>
      <c r="AG17" s="5" t="e">
        <f>(Graphes[[#This Row],[FC_AC_Solution]]-Graphes[[#This Row],[Opt]])/Graphes[[#This Row],[Opt]]</f>
        <v>#VALUE!</v>
      </c>
      <c r="AH17" s="2">
        <v>7.1185894012451101</v>
      </c>
      <c r="AI17">
        <v>133</v>
      </c>
      <c r="AJ17">
        <v>0</v>
      </c>
      <c r="AK17" s="2">
        <v>9.79351997375488E-2</v>
      </c>
      <c r="AL17" s="2">
        <v>6.9017188549041704</v>
      </c>
      <c r="AM17" s="2">
        <v>0.106938123703002</v>
      </c>
      <c r="AN17">
        <v>18</v>
      </c>
      <c r="AO17" s="5" t="e">
        <f>(Graphes[[#This Row],[FC_Solution]]-Graphes[[#This Row],[Opt]])/Graphes[[#This Row],[Opt]]</f>
        <v>#VALUE!</v>
      </c>
      <c r="AP17" s="2">
        <v>0.217869281768798</v>
      </c>
      <c r="AQ17">
        <v>223</v>
      </c>
      <c r="AR17">
        <v>45</v>
      </c>
      <c r="AS17" s="2">
        <v>0.158900260925292</v>
      </c>
      <c r="AT17" s="2">
        <v>0</v>
      </c>
      <c r="AU17" s="2">
        <v>4.8973321914672803E-2</v>
      </c>
      <c r="AV17" s="7">
        <v>17</v>
      </c>
      <c r="AW17" s="5" t="e">
        <f>(Graphes[[#This Row],[DS_sans_clique_Solution]]-Graphes[Opt])/Graphes[Opt]</f>
        <v>#VALUE!</v>
      </c>
      <c r="AX17" s="2">
        <v>0.132747888565063</v>
      </c>
      <c r="AY17" s="2">
        <v>145</v>
      </c>
      <c r="AZ17" s="2">
        <v>0</v>
      </c>
      <c r="BA17" s="2">
        <v>6.4871072769164997E-2</v>
      </c>
      <c r="BB17" s="2">
        <v>0</v>
      </c>
      <c r="BC17" s="2">
        <v>5.83875179290771E-2</v>
      </c>
      <c r="BD17" s="5">
        <f>Graphes[[#This Row],[Max clique (lb)]]/Graphes[[#This Row],[Nb var]]</f>
        <v>8.3333333333333329E-2</v>
      </c>
      <c r="BE17" s="2">
        <f>Graphes[[#This Row],[Nb contraintes]]*Graphes[[#This Row],[ub]]*Graphes[[#This Row],[ub]]</f>
        <v>9796160</v>
      </c>
    </row>
    <row r="18" spans="1:57" x14ac:dyDescent="0.25">
      <c r="A18" t="s">
        <v>71</v>
      </c>
      <c r="B18">
        <v>5</v>
      </c>
      <c r="C18" s="2">
        <v>30.611820697784399</v>
      </c>
      <c r="D18">
        <v>450</v>
      </c>
      <c r="E18">
        <v>9793</v>
      </c>
      <c r="F18">
        <v>5</v>
      </c>
      <c r="G18">
        <v>67</v>
      </c>
      <c r="H18">
        <v>11</v>
      </c>
      <c r="I18" s="5">
        <f>(Graphes[[#This Row],[DS_Solution]]-Graphes[[#This Row],[Opt]])/Graphes[[#This Row],[Opt]]</f>
        <v>1.2</v>
      </c>
      <c r="J18" s="2">
        <v>0.95296883583068803</v>
      </c>
      <c r="K18">
        <v>484</v>
      </c>
      <c r="L18">
        <v>19</v>
      </c>
      <c r="M18" s="2">
        <v>0.72717761993408203</v>
      </c>
      <c r="N18" s="2">
        <v>0</v>
      </c>
      <c r="O18" s="2">
        <v>0.14889335632324199</v>
      </c>
      <c r="P18">
        <v>11</v>
      </c>
      <c r="Q18" s="5">
        <f>(Graphes[[#This Row],[FC_AC_30_sans_clique_Solution]]-Graphes[[#This Row],[Opt]])/Graphes[[#This Row],[Opt]]</f>
        <v>1.2</v>
      </c>
      <c r="R18" s="2">
        <v>2.67575979232788</v>
      </c>
      <c r="S18">
        <v>451</v>
      </c>
      <c r="T18">
        <v>0</v>
      </c>
      <c r="U18" s="2">
        <v>1.01181435585021</v>
      </c>
      <c r="V18" s="2">
        <v>1.3227310180664</v>
      </c>
      <c r="W18" s="2">
        <v>0.19829773902893</v>
      </c>
      <c r="X18">
        <v>12</v>
      </c>
      <c r="Y18" s="5">
        <f>(Graphes[[#This Row],[FC_AC_30_Solution]]-Graphes[[#This Row],[Opt]])/Graphes[[#This Row],[Opt]]</f>
        <v>1.4</v>
      </c>
      <c r="Z18" s="2">
        <v>3.2057614326477002</v>
      </c>
      <c r="AA18">
        <v>446</v>
      </c>
      <c r="AB18">
        <v>0</v>
      </c>
      <c r="AC18" s="2">
        <v>1.2091908454895</v>
      </c>
      <c r="AD18" s="2">
        <v>1.6946215629577599</v>
      </c>
      <c r="AE18" s="2">
        <v>0.17589139938354401</v>
      </c>
      <c r="AF18">
        <v>12</v>
      </c>
      <c r="AG18" s="5">
        <f>(Graphes[[#This Row],[FC_AC_Solution]]-Graphes[[#This Row],[Opt]])/Graphes[[#This Row],[Opt]]</f>
        <v>1.4</v>
      </c>
      <c r="AH18" s="2">
        <v>7.6899833679199201</v>
      </c>
      <c r="AI18">
        <v>446</v>
      </c>
      <c r="AJ18">
        <v>0</v>
      </c>
      <c r="AK18" s="2">
        <v>0.68560791015625</v>
      </c>
      <c r="AL18" s="2">
        <v>6.7785086631774902</v>
      </c>
      <c r="AM18" s="2">
        <v>0.14391827583312899</v>
      </c>
      <c r="AN18">
        <v>11</v>
      </c>
      <c r="AO18" s="5">
        <f>(Graphes[[#This Row],[FC_Solution]]-Graphes[[#This Row],[Opt]])/Graphes[[#This Row],[Opt]]</f>
        <v>1.2</v>
      </c>
      <c r="AP18" s="2">
        <v>1.5167586803436199</v>
      </c>
      <c r="AQ18">
        <v>484</v>
      </c>
      <c r="AR18">
        <v>19</v>
      </c>
      <c r="AS18" s="2">
        <v>1.2837934494018499</v>
      </c>
      <c r="AT18" s="2">
        <v>0</v>
      </c>
      <c r="AU18" s="2">
        <v>0.14090418815612701</v>
      </c>
      <c r="AV18" s="7">
        <v>11</v>
      </c>
      <c r="AW18" s="5">
        <f>(Graphes[[#This Row],[DS_sans_clique_Solution]]-Graphes[Opt])/Graphes[Opt]</f>
        <v>1.2</v>
      </c>
      <c r="AX18" s="2">
        <v>0.97265195846557595</v>
      </c>
      <c r="AY18" s="2">
        <v>451</v>
      </c>
      <c r="AZ18" s="2">
        <v>0</v>
      </c>
      <c r="BA18" s="2">
        <v>0.71315264701843195</v>
      </c>
      <c r="BB18" s="2">
        <v>0</v>
      </c>
      <c r="BC18" s="2">
        <v>0.166679382324218</v>
      </c>
      <c r="BD18" s="5">
        <f>Graphes[[#This Row],[Max clique (lb)]]/Graphes[[#This Row],[Nb var]]</f>
        <v>1.1111111111111112E-2</v>
      </c>
      <c r="BE18" s="7">
        <f>Graphes[[#This Row],[Nb contraintes]]*Graphes[[#This Row],[ub]]*Graphes[[#This Row],[ub]]</f>
        <v>43960777</v>
      </c>
    </row>
    <row r="19" spans="1:57" x14ac:dyDescent="0.25">
      <c r="A19" t="s">
        <v>60</v>
      </c>
      <c r="B19" t="s">
        <v>16</v>
      </c>
      <c r="C19" s="2">
        <v>14.037302255630401</v>
      </c>
      <c r="D19">
        <v>196</v>
      </c>
      <c r="E19">
        <v>8190</v>
      </c>
      <c r="F19">
        <v>14</v>
      </c>
      <c r="G19">
        <v>52</v>
      </c>
      <c r="H19">
        <v>21</v>
      </c>
      <c r="I19" s="5" t="e">
        <f>(Graphes[[#This Row],[DS_Solution]]-Graphes[[#This Row],[Opt]])/Graphes[[#This Row],[Opt]]</f>
        <v>#VALUE!</v>
      </c>
      <c r="J19" s="2">
        <v>0.335790395736694</v>
      </c>
      <c r="K19">
        <v>277</v>
      </c>
      <c r="L19">
        <v>47</v>
      </c>
      <c r="M19" s="2">
        <v>0.18987488746643</v>
      </c>
      <c r="N19" s="2">
        <v>0</v>
      </c>
      <c r="O19" s="2">
        <v>0.11793470382690401</v>
      </c>
      <c r="P19">
        <v>20</v>
      </c>
      <c r="Q19" s="5" t="e">
        <f>(Graphes[[#This Row],[FC_AC_30_sans_clique_Solution]]-Graphes[[#This Row],[Opt]])/Graphes[[#This Row],[Opt]]</f>
        <v>#VALUE!</v>
      </c>
      <c r="R19" s="2">
        <v>1.2420227527618399</v>
      </c>
      <c r="S19">
        <v>197</v>
      </c>
      <c r="T19">
        <v>0</v>
      </c>
      <c r="U19" s="2">
        <v>0.119919300079345</v>
      </c>
      <c r="V19" s="2">
        <v>0.99689912796020497</v>
      </c>
      <c r="W19" s="2">
        <v>0.108210086822509</v>
      </c>
      <c r="X19">
        <v>20</v>
      </c>
      <c r="Y19" s="5" t="e">
        <f>(Graphes[[#This Row],[FC_AC_30_Solution]]-Graphes[[#This Row],[Opt]])/Graphes[[#This Row],[Opt]]</f>
        <v>#VALUE!</v>
      </c>
      <c r="Z19" s="2">
        <v>1.9977283477783201</v>
      </c>
      <c r="AA19">
        <v>183</v>
      </c>
      <c r="AB19">
        <v>0</v>
      </c>
      <c r="AC19" s="2">
        <v>0.107933044433593</v>
      </c>
      <c r="AD19" s="2">
        <v>1.81683897972106</v>
      </c>
      <c r="AE19" s="2">
        <v>6.5958976745605399E-2</v>
      </c>
      <c r="AF19">
        <v>20</v>
      </c>
      <c r="AG19" s="5" t="e">
        <f>(Graphes[[#This Row],[FC_AC_Solution]]-Graphes[[#This Row],[Opt]])/Graphes[[#This Row],[Opt]]</f>
        <v>#VALUE!</v>
      </c>
      <c r="AH19" s="2">
        <v>9.8788809776306099</v>
      </c>
      <c r="AI19">
        <v>183</v>
      </c>
      <c r="AJ19">
        <v>0</v>
      </c>
      <c r="AK19" s="2">
        <v>0.13393354415893499</v>
      </c>
      <c r="AL19" s="2">
        <v>9.6040284633636404</v>
      </c>
      <c r="AM19" s="2">
        <v>0.116930246353149</v>
      </c>
      <c r="AN19">
        <v>21</v>
      </c>
      <c r="AO19" s="5" t="e">
        <f>(Graphes[[#This Row],[FC_Solution]]-Graphes[[#This Row],[Opt]])/Graphes[[#This Row],[Opt]]</f>
        <v>#VALUE!</v>
      </c>
      <c r="AP19" s="2">
        <v>0.22986030578613201</v>
      </c>
      <c r="AQ19">
        <v>277</v>
      </c>
      <c r="AR19">
        <v>47</v>
      </c>
      <c r="AS19" s="2">
        <v>0.128911733627319</v>
      </c>
      <c r="AT19" s="2">
        <v>0</v>
      </c>
      <c r="AU19" s="2">
        <v>8.4954023361205999E-2</v>
      </c>
      <c r="AV19" s="7">
        <v>20</v>
      </c>
      <c r="AW19" s="5" t="e">
        <f>(Graphes[[#This Row],[DS_sans_clique_Solution]]-Graphes[Opt])/Graphes[Opt]</f>
        <v>#VALUE!</v>
      </c>
      <c r="AX19" s="2">
        <v>0.37378859519958402</v>
      </c>
      <c r="AY19" s="2">
        <v>197</v>
      </c>
      <c r="AZ19" s="2">
        <v>0</v>
      </c>
      <c r="BA19" s="2">
        <v>0.26849198341369601</v>
      </c>
      <c r="BB19" s="2">
        <v>0</v>
      </c>
      <c r="BC19" s="2">
        <v>8.8322401046752902E-2</v>
      </c>
      <c r="BD19" s="5">
        <f>Graphes[[#This Row],[Max clique (lb)]]/Graphes[[#This Row],[Nb var]]</f>
        <v>7.1428571428571425E-2</v>
      </c>
      <c r="BE19" s="2">
        <f>Graphes[[#This Row],[Nb contraintes]]*Graphes[[#This Row],[ub]]*Graphes[[#This Row],[ub]]</f>
        <v>22145760</v>
      </c>
    </row>
    <row r="20" spans="1:57" x14ac:dyDescent="0.25">
      <c r="A20" t="s">
        <v>74</v>
      </c>
      <c r="B20" t="s">
        <v>16</v>
      </c>
      <c r="C20" s="2">
        <v>22.985728263854899</v>
      </c>
      <c r="D20">
        <v>256</v>
      </c>
      <c r="E20">
        <v>12400</v>
      </c>
      <c r="F20">
        <v>16</v>
      </c>
      <c r="G20">
        <v>60</v>
      </c>
      <c r="H20">
        <v>23</v>
      </c>
      <c r="I20" s="5" t="e">
        <f>(Graphes[[#This Row],[DS_Solution]]-Graphes[[#This Row],[Opt]])/Graphes[[#This Row],[Opt]]</f>
        <v>#VALUE!</v>
      </c>
      <c r="J20" s="2">
        <v>0.43672919273376398</v>
      </c>
      <c r="K20">
        <v>329</v>
      </c>
      <c r="L20">
        <v>44</v>
      </c>
      <c r="M20" s="2">
        <v>0.250846147537231</v>
      </c>
      <c r="N20" s="2">
        <v>0</v>
      </c>
      <c r="O20" s="2">
        <v>0.15290379524230899</v>
      </c>
      <c r="P20">
        <v>24</v>
      </c>
      <c r="Q20" s="5" t="e">
        <f>(Graphes[[#This Row],[FC_AC_30_sans_clique_Solution]]-Graphes[[#This Row],[Opt]])/Graphes[[#This Row],[Opt]]</f>
        <v>#VALUE!</v>
      </c>
      <c r="R20" s="2">
        <v>2.6558840274810702</v>
      </c>
      <c r="S20">
        <v>257</v>
      </c>
      <c r="T20">
        <v>0</v>
      </c>
      <c r="U20" s="2">
        <v>0.72838783264160101</v>
      </c>
      <c r="V20" s="2">
        <v>1.7434024810791</v>
      </c>
      <c r="W20" s="2">
        <v>0.16110754013061501</v>
      </c>
      <c r="X20">
        <v>21</v>
      </c>
      <c r="Y20" s="5" t="e">
        <f>(Graphes[[#This Row],[FC_AC_30_Solution]]-Graphes[[#This Row],[Opt]])/Graphes[[#This Row],[Opt]]</f>
        <v>#VALUE!</v>
      </c>
      <c r="Z20" s="2">
        <v>3.31155228614807</v>
      </c>
      <c r="AA20">
        <v>241</v>
      </c>
      <c r="AB20">
        <v>0</v>
      </c>
      <c r="AC20" s="2">
        <v>0.156903982162475</v>
      </c>
      <c r="AD20" s="2">
        <v>2.9967408180236799</v>
      </c>
      <c r="AE20" s="2">
        <v>0.12892460823058999</v>
      </c>
      <c r="AF20">
        <v>21</v>
      </c>
      <c r="AG20" s="5" t="e">
        <f>(Graphes[[#This Row],[FC_AC_Solution]]-Graphes[[#This Row],[Opt]])/Graphes[[#This Row],[Opt]]</f>
        <v>#VALUE!</v>
      </c>
      <c r="AH20" s="2">
        <v>18.201698303222599</v>
      </c>
      <c r="AI20">
        <v>241</v>
      </c>
      <c r="AJ20">
        <v>0</v>
      </c>
      <c r="AK20" s="2">
        <v>0.23895788192749001</v>
      </c>
      <c r="AL20" s="2">
        <v>17.726972579956001</v>
      </c>
      <c r="AM20" s="2">
        <v>0.204788208007812</v>
      </c>
      <c r="AN20">
        <v>23</v>
      </c>
      <c r="AO20" s="5" t="e">
        <f>(Graphes[[#This Row],[FC_Solution]]-Graphes[[#This Row],[Opt]])/Graphes[[#This Row],[Opt]]</f>
        <v>#VALUE!</v>
      </c>
      <c r="AP20" s="2">
        <v>0.40674734115600503</v>
      </c>
      <c r="AQ20">
        <v>329</v>
      </c>
      <c r="AR20">
        <v>44</v>
      </c>
      <c r="AS20" s="2">
        <v>0.229860544204711</v>
      </c>
      <c r="AT20" s="2">
        <v>0</v>
      </c>
      <c r="AU20" s="2">
        <v>0.14490914344787501</v>
      </c>
      <c r="AV20" s="7">
        <v>24</v>
      </c>
      <c r="AW20" s="5" t="e">
        <f>(Graphes[[#This Row],[DS_sans_clique_Solution]]-Graphes[Opt])/Graphes[Opt]</f>
        <v>#VALUE!</v>
      </c>
      <c r="AX20" s="2">
        <v>0.35682034492492598</v>
      </c>
      <c r="AY20" s="2">
        <v>257</v>
      </c>
      <c r="AZ20" s="2">
        <v>0</v>
      </c>
      <c r="BA20" s="2">
        <v>0.18264603614807101</v>
      </c>
      <c r="BB20" s="2">
        <v>0</v>
      </c>
      <c r="BC20" s="2">
        <v>0.15271711349487299</v>
      </c>
      <c r="BD20" s="5">
        <f>Graphes[[#This Row],[Max clique (lb)]]/Graphes[[#This Row],[Nb var]]</f>
        <v>6.25E-2</v>
      </c>
      <c r="BE20" s="2">
        <f>Graphes[[#This Row],[Nb contraintes]]*Graphes[[#This Row],[ub]]*Graphes[[#This Row],[ub]]</f>
        <v>44640000</v>
      </c>
    </row>
    <row r="21" spans="1:57" x14ac:dyDescent="0.25">
      <c r="A21" t="s">
        <v>35</v>
      </c>
      <c r="B21">
        <v>15</v>
      </c>
      <c r="C21" s="2">
        <v>50.547429800033498</v>
      </c>
      <c r="D21">
        <v>450</v>
      </c>
      <c r="E21">
        <v>8064</v>
      </c>
      <c r="F21">
        <v>15</v>
      </c>
      <c r="G21">
        <v>95</v>
      </c>
      <c r="H21">
        <v>17</v>
      </c>
      <c r="I21" s="5">
        <f>(Graphes[[#This Row],[DS_Solution]]-Graphes[[#This Row],[Opt]])/Graphes[[#This Row],[Opt]]</f>
        <v>0.13333333333333333</v>
      </c>
      <c r="J21" s="2">
        <v>2.0231521129608101</v>
      </c>
      <c r="K21">
        <v>548</v>
      </c>
      <c r="L21">
        <v>56</v>
      </c>
      <c r="M21" s="2">
        <v>1.20515704154968</v>
      </c>
      <c r="N21" s="2">
        <v>0</v>
      </c>
      <c r="O21" s="2">
        <v>0.70571136474609297</v>
      </c>
      <c r="P21">
        <v>17</v>
      </c>
      <c r="Q21" s="5">
        <f>(Graphes[[#This Row],[FC_AC_30_sans_clique_Solution]]-Graphes[[#This Row],[Opt]])/Graphes[[#This Row],[Opt]]</f>
        <v>0.13333333333333333</v>
      </c>
      <c r="R21" s="2">
        <v>3.8186590671539302</v>
      </c>
      <c r="S21">
        <v>451</v>
      </c>
      <c r="T21">
        <v>0</v>
      </c>
      <c r="U21" s="2">
        <v>1.6752598285675</v>
      </c>
      <c r="V21" s="2">
        <v>1.85656642913818</v>
      </c>
      <c r="W21" s="2">
        <v>0.17989587783813399</v>
      </c>
      <c r="X21">
        <v>17</v>
      </c>
      <c r="Y21" s="5">
        <f>(Graphes[[#This Row],[FC_AC_30_Solution]]-Graphes[[#This Row],[Opt]])/Graphes[[#This Row],[Opt]]</f>
        <v>0.13333333333333333</v>
      </c>
      <c r="Z21" s="2">
        <v>4.0804390907287598</v>
      </c>
      <c r="AA21">
        <v>436</v>
      </c>
      <c r="AB21">
        <v>0</v>
      </c>
      <c r="AC21" s="2">
        <v>1.0503509044647199</v>
      </c>
      <c r="AD21" s="2">
        <v>2.75824546813964</v>
      </c>
      <c r="AE21" s="2">
        <v>0.17788743972778301</v>
      </c>
      <c r="AF21">
        <v>17</v>
      </c>
      <c r="AG21" s="5">
        <f>(Graphes[[#This Row],[FC_AC_Solution]]-Graphes[[#This Row],[Opt]])/Graphes[[#This Row],[Opt]]</f>
        <v>0.13333333333333333</v>
      </c>
      <c r="AH21" s="2">
        <v>13.9938941001892</v>
      </c>
      <c r="AI21">
        <v>436</v>
      </c>
      <c r="AJ21">
        <v>0</v>
      </c>
      <c r="AK21" s="2">
        <v>1.07700872421264</v>
      </c>
      <c r="AL21" s="2">
        <v>12.6089823246002</v>
      </c>
      <c r="AM21" s="2">
        <v>0.19410228729248</v>
      </c>
      <c r="AN21">
        <v>17</v>
      </c>
      <c r="AO21" s="5">
        <f>(Graphes[[#This Row],[FC_Solution]]-Graphes[[#This Row],[Opt]])/Graphes[[#This Row],[Opt]]</f>
        <v>0.13333333333333333</v>
      </c>
      <c r="AP21" s="2">
        <v>1.38536548614501</v>
      </c>
      <c r="AQ21">
        <v>548</v>
      </c>
      <c r="AR21">
        <v>56</v>
      </c>
      <c r="AS21" s="2">
        <v>1.0949246883392301</v>
      </c>
      <c r="AT21" s="2">
        <v>0</v>
      </c>
      <c r="AU21" s="2">
        <v>0.19061923027038499</v>
      </c>
      <c r="AV21" s="7">
        <v>17</v>
      </c>
      <c r="AW21" s="5">
        <f>(Graphes[[#This Row],[DS_sans_clique_Solution]]-Graphes[Opt])/Graphes[Opt]</f>
        <v>0.13333333333333333</v>
      </c>
      <c r="AX21" s="2">
        <v>1.6024529933929399</v>
      </c>
      <c r="AY21" s="2">
        <v>451</v>
      </c>
      <c r="AZ21" s="2">
        <v>0</v>
      </c>
      <c r="BA21" s="2">
        <v>1.33292961120605</v>
      </c>
      <c r="BB21" s="2">
        <v>0</v>
      </c>
      <c r="BC21" s="2">
        <v>0.17572069168090801</v>
      </c>
      <c r="BD21" s="5">
        <f>Graphes[[#This Row],[Max clique (lb)]]/Graphes[[#This Row],[Nb var]]</f>
        <v>3.3333333333333333E-2</v>
      </c>
      <c r="BE21" s="7">
        <f>Graphes[[#This Row],[Nb contraintes]]*Graphes[[#This Row],[ub]]*Graphes[[#This Row],[ub]]</f>
        <v>72777600</v>
      </c>
    </row>
    <row r="22" spans="1:57" x14ac:dyDescent="0.25">
      <c r="A22" t="s">
        <v>67</v>
      </c>
      <c r="B22">
        <v>49</v>
      </c>
      <c r="C22" s="2">
        <v>14.9407467842102</v>
      </c>
      <c r="D22">
        <v>211</v>
      </c>
      <c r="E22">
        <v>3065</v>
      </c>
      <c r="F22">
        <v>46</v>
      </c>
      <c r="G22">
        <v>112</v>
      </c>
      <c r="H22">
        <v>49</v>
      </c>
      <c r="I22" s="5">
        <f>(Graphes[[#This Row],[DS_Solution]]-Graphes[[#This Row],[Opt]])/Graphes[[#This Row],[Opt]]</f>
        <v>0</v>
      </c>
      <c r="J22" s="2">
        <v>1.4890773296356199</v>
      </c>
      <c r="K22">
        <v>1962</v>
      </c>
      <c r="L22">
        <v>898</v>
      </c>
      <c r="M22" s="2">
        <v>1.3551716804504299</v>
      </c>
      <c r="N22" s="2">
        <v>0</v>
      </c>
      <c r="O22" s="2">
        <v>4.6971082687377902E-2</v>
      </c>
      <c r="P22">
        <v>49</v>
      </c>
      <c r="Q22" s="5">
        <f>(Graphes[[#This Row],[FC_AC_30_sans_clique_Solution]]-Graphes[[#This Row],[Opt]])/Graphes[[#This Row],[Opt]]</f>
        <v>0</v>
      </c>
      <c r="R22" s="2">
        <v>1.9938652515411299</v>
      </c>
      <c r="S22">
        <v>212</v>
      </c>
      <c r="T22">
        <v>0</v>
      </c>
      <c r="U22" s="2">
        <v>0.76980376243591297</v>
      </c>
      <c r="V22" s="2">
        <v>1.08514523506164</v>
      </c>
      <c r="W22" s="2">
        <v>0.117923974990844</v>
      </c>
      <c r="X22">
        <v>49</v>
      </c>
      <c r="Y22" s="5">
        <f>(Graphes[[#This Row],[FC_AC_30_Solution]]-Graphes[[#This Row],[Opt]])/Graphes[[#This Row],[Opt]]</f>
        <v>0</v>
      </c>
      <c r="Z22" s="2">
        <v>2.2517502307891801</v>
      </c>
      <c r="AA22">
        <v>166</v>
      </c>
      <c r="AB22">
        <v>0</v>
      </c>
      <c r="AC22" s="2">
        <v>0.163903713226318</v>
      </c>
      <c r="AD22" s="2">
        <v>2.0506393909454301</v>
      </c>
      <c r="AE22" s="2">
        <v>2.5111198425292899E-2</v>
      </c>
      <c r="AF22">
        <v>49</v>
      </c>
      <c r="AG22" s="5">
        <f>(Graphes[[#This Row],[FC_AC_Solution]]-Graphes[[#This Row],[Opt]])/Graphes[[#This Row],[Opt]]</f>
        <v>0</v>
      </c>
      <c r="AH22" s="2">
        <v>4.7670474052429199</v>
      </c>
      <c r="AI22">
        <v>166</v>
      </c>
      <c r="AJ22">
        <v>0</v>
      </c>
      <c r="AK22" s="2">
        <v>0.239856958389282</v>
      </c>
      <c r="AL22" s="2">
        <v>4.4662327766418404</v>
      </c>
      <c r="AM22" s="2">
        <v>2.99799442291259E-2</v>
      </c>
      <c r="AN22">
        <v>49</v>
      </c>
      <c r="AO22" s="5">
        <f>(Graphes[[#This Row],[FC_Solution]]-Graphes[[#This Row],[Opt]])/Graphes[[#This Row],[Opt]]</f>
        <v>0</v>
      </c>
      <c r="AP22" s="2">
        <v>1.32518434524536</v>
      </c>
      <c r="AQ22">
        <v>1962</v>
      </c>
      <c r="AR22">
        <v>898</v>
      </c>
      <c r="AS22" s="2">
        <v>1.1652762889862001</v>
      </c>
      <c r="AT22" s="2">
        <v>0</v>
      </c>
      <c r="AU22" s="2">
        <v>5.2969455718994099E-2</v>
      </c>
      <c r="AV22" s="7">
        <v>49</v>
      </c>
      <c r="AW22" s="5">
        <f>(Graphes[[#This Row],[DS_sans_clique_Solution]]-Graphes[Opt])/Graphes[Opt]</f>
        <v>0</v>
      </c>
      <c r="AX22" s="2">
        <v>0.67371511459350497</v>
      </c>
      <c r="AY22" s="2">
        <v>212</v>
      </c>
      <c r="AZ22" s="2">
        <v>0</v>
      </c>
      <c r="BA22" s="2">
        <v>0.53688812255859297</v>
      </c>
      <c r="BB22" s="2">
        <v>0</v>
      </c>
      <c r="BC22" s="2">
        <v>0.11526870727539</v>
      </c>
      <c r="BD22" s="5">
        <f>Graphes[[#This Row],[Max clique (lb)]]/Graphes[[#This Row],[Nb var]]</f>
        <v>0.21800947867298578</v>
      </c>
      <c r="BE22" s="7">
        <f>Graphes[[#This Row],[Nb contraintes]]*Graphes[[#This Row],[ub]]*Graphes[[#This Row],[ub]]</f>
        <v>38447360</v>
      </c>
    </row>
    <row r="23" spans="1:57" x14ac:dyDescent="0.25">
      <c r="A23" t="s">
        <v>45</v>
      </c>
      <c r="B23">
        <v>49</v>
      </c>
      <c r="C23" s="2">
        <v>21.8903822898864</v>
      </c>
      <c r="D23">
        <v>197</v>
      </c>
      <c r="E23">
        <v>3330</v>
      </c>
      <c r="F23">
        <v>35</v>
      </c>
      <c r="G23">
        <v>122</v>
      </c>
      <c r="H23">
        <v>49</v>
      </c>
      <c r="I23" s="5">
        <f>(Graphes[[#This Row],[DS_Solution]]-Graphes[[#This Row],[Opt]])/Graphes[[#This Row],[Opt]]</f>
        <v>0</v>
      </c>
      <c r="J23" s="2">
        <v>1.4707059860229399</v>
      </c>
      <c r="K23">
        <v>2331</v>
      </c>
      <c r="L23">
        <v>1084</v>
      </c>
      <c r="M23" s="2">
        <v>1.1522920131683301</v>
      </c>
      <c r="N23" s="2">
        <v>0</v>
      </c>
      <c r="O23" s="2">
        <v>0.21959042549133301</v>
      </c>
      <c r="P23">
        <v>49</v>
      </c>
      <c r="Q23" s="5">
        <f>(Graphes[[#This Row],[FC_AC_30_sans_clique_Solution]]-Graphes[[#This Row],[Opt]])/Graphes[[#This Row],[Opt]]</f>
        <v>0</v>
      </c>
      <c r="R23" s="2">
        <v>1.4538440704345701</v>
      </c>
      <c r="S23">
        <v>198</v>
      </c>
      <c r="T23">
        <v>0</v>
      </c>
      <c r="U23" s="2">
        <v>0.22686338424682601</v>
      </c>
      <c r="V23" s="2">
        <v>1.0870664119720399</v>
      </c>
      <c r="W23" s="2">
        <v>0.11692929267883299</v>
      </c>
      <c r="X23">
        <v>49</v>
      </c>
      <c r="Y23" s="5">
        <f>(Graphes[[#This Row],[FC_AC_30_Solution]]-Graphes[[#This Row],[Opt]])/Graphes[[#This Row],[Opt]]</f>
        <v>0</v>
      </c>
      <c r="Z23" s="2">
        <v>4.3564045429229701</v>
      </c>
      <c r="AA23">
        <v>163</v>
      </c>
      <c r="AB23">
        <v>0</v>
      </c>
      <c r="AC23" s="2">
        <v>0.169898271560668</v>
      </c>
      <c r="AD23" s="2">
        <v>4.1045579910278303</v>
      </c>
      <c r="AE23" s="2">
        <v>6.69577121734619E-2</v>
      </c>
      <c r="AF23">
        <v>49</v>
      </c>
      <c r="AG23" s="5">
        <f>(Graphes[[#This Row],[FC_AC_Solution]]-Graphes[[#This Row],[Opt]])/Graphes[[#This Row],[Opt]]</f>
        <v>0</v>
      </c>
      <c r="AH23" s="2">
        <v>8.1345353126525808</v>
      </c>
      <c r="AI23">
        <v>163</v>
      </c>
      <c r="AJ23">
        <v>0</v>
      </c>
      <c r="AK23" s="2">
        <v>0.13674283027648901</v>
      </c>
      <c r="AL23" s="2">
        <v>7.9149606227874703</v>
      </c>
      <c r="AM23" s="2">
        <v>6.1365842819213798E-2</v>
      </c>
      <c r="AN23">
        <v>49</v>
      </c>
      <c r="AO23" s="5">
        <f>(Graphes[[#This Row],[FC_Solution]]-Graphes[[#This Row],[Opt]])/Graphes[[#This Row],[Opt]]</f>
        <v>0</v>
      </c>
      <c r="AP23" s="2">
        <v>1.31849360466003</v>
      </c>
      <c r="AQ23">
        <v>2331</v>
      </c>
      <c r="AR23">
        <v>1084</v>
      </c>
      <c r="AS23" s="2">
        <v>1.02153420448303</v>
      </c>
      <c r="AT23" s="2">
        <v>0</v>
      </c>
      <c r="AU23" s="2">
        <v>0.210610151290893</v>
      </c>
      <c r="AV23" s="7">
        <v>49</v>
      </c>
      <c r="AW23" s="5">
        <f>(Graphes[[#This Row],[DS_sans_clique_Solution]]-Graphes[Opt])/Graphes[Opt]</f>
        <v>0</v>
      </c>
      <c r="AX23" s="2">
        <v>0.33685946464538502</v>
      </c>
      <c r="AY23" s="2">
        <v>198</v>
      </c>
      <c r="AZ23" s="2">
        <v>0</v>
      </c>
      <c r="BA23" s="2">
        <v>0.20510292053222601</v>
      </c>
      <c r="BB23" s="2">
        <v>0</v>
      </c>
      <c r="BC23" s="2">
        <v>0.112296104431152</v>
      </c>
      <c r="BD23" s="5">
        <f>Graphes[[#This Row],[Max clique (lb)]]/Graphes[[#This Row],[Nb var]]</f>
        <v>0.17766497461928935</v>
      </c>
      <c r="BE23" s="7">
        <f>Graphes[[#This Row],[Nb contraintes]]*Graphes[[#This Row],[ub]]*Graphes[[#This Row],[ub]]</f>
        <v>49563720</v>
      </c>
    </row>
    <row r="24" spans="1:57" x14ac:dyDescent="0.25">
      <c r="A24" t="s">
        <v>39</v>
      </c>
      <c r="B24">
        <v>5</v>
      </c>
      <c r="C24" s="2">
        <v>37.078507423400801</v>
      </c>
      <c r="D24">
        <v>450</v>
      </c>
      <c r="E24">
        <v>5724</v>
      </c>
      <c r="F24">
        <v>5</v>
      </c>
      <c r="G24">
        <v>43</v>
      </c>
      <c r="H24">
        <v>10</v>
      </c>
      <c r="I24" s="5">
        <f>(Graphes[[#This Row],[DS_Solution]]-Graphes[[#This Row],[Opt]])/Graphes[[#This Row],[Opt]]</f>
        <v>1</v>
      </c>
      <c r="J24" s="2">
        <v>0.62431287765502896</v>
      </c>
      <c r="K24">
        <v>476</v>
      </c>
      <c r="L24">
        <v>15</v>
      </c>
      <c r="M24" s="2">
        <v>0.48006033897399902</v>
      </c>
      <c r="N24" s="2">
        <v>0</v>
      </c>
      <c r="O24" s="2">
        <v>7.3885917663574205E-2</v>
      </c>
      <c r="P24">
        <v>10</v>
      </c>
      <c r="Q24" s="5">
        <f>(Graphes[[#This Row],[FC_AC_30_sans_clique_Solution]]-Graphes[[#This Row],[Opt]])/Graphes[[#This Row],[Opt]]</f>
        <v>1</v>
      </c>
      <c r="R24" s="2">
        <v>1.4838440418243399</v>
      </c>
      <c r="S24">
        <v>451</v>
      </c>
      <c r="T24">
        <v>0</v>
      </c>
      <c r="U24" s="2">
        <v>0.861721992492675</v>
      </c>
      <c r="V24" s="2">
        <v>0.47119855880737299</v>
      </c>
      <c r="W24" s="2">
        <v>6.69751167297363E-2</v>
      </c>
      <c r="X24">
        <v>10</v>
      </c>
      <c r="Y24" s="5">
        <f>(Graphes[[#This Row],[FC_AC_30_Solution]]-Graphes[[#This Row],[Opt]])/Graphes[[#This Row],[Opt]]</f>
        <v>1</v>
      </c>
      <c r="Z24" s="2">
        <v>1.4068801403045601</v>
      </c>
      <c r="AA24">
        <v>446</v>
      </c>
      <c r="AB24">
        <v>0</v>
      </c>
      <c r="AC24" s="2">
        <v>0.692080497741699</v>
      </c>
      <c r="AD24" s="2">
        <v>0.55487442016601496</v>
      </c>
      <c r="AE24" s="2">
        <v>9.1958522796630804E-2</v>
      </c>
      <c r="AF24">
        <v>10</v>
      </c>
      <c r="AG24" s="5">
        <f>(Graphes[[#This Row],[FC_AC_Solution]]-Graphes[[#This Row],[Opt]])/Graphes[[#This Row],[Opt]]</f>
        <v>1</v>
      </c>
      <c r="AH24" s="2">
        <v>3.50932693481445</v>
      </c>
      <c r="AI24">
        <v>446</v>
      </c>
      <c r="AJ24">
        <v>0</v>
      </c>
      <c r="AK24" s="2">
        <v>0.92677378654479903</v>
      </c>
      <c r="AL24" s="2">
        <v>2.4303283691406201</v>
      </c>
      <c r="AM24" s="2">
        <v>7.1381568908691406E-2</v>
      </c>
      <c r="AN24">
        <v>10</v>
      </c>
      <c r="AO24" s="5">
        <f>(Graphes[[#This Row],[FC_Solution]]-Graphes[[#This Row],[Opt]])/Graphes[[#This Row],[Opt]]</f>
        <v>1</v>
      </c>
      <c r="AP24" s="2">
        <v>1.0879321098327599</v>
      </c>
      <c r="AQ24">
        <v>476</v>
      </c>
      <c r="AR24">
        <v>15</v>
      </c>
      <c r="AS24" s="2">
        <v>0.93470954895019498</v>
      </c>
      <c r="AT24" s="2">
        <v>0</v>
      </c>
      <c r="AU24" s="2">
        <v>7.5871229171752902E-2</v>
      </c>
      <c r="AV24" s="7">
        <v>10</v>
      </c>
      <c r="AW24" s="5">
        <f>(Graphes[[#This Row],[DS_sans_clique_Solution]]-Graphes[Opt])/Graphes[Opt]</f>
        <v>1</v>
      </c>
      <c r="AX24" s="2">
        <v>1.00508904457092</v>
      </c>
      <c r="AY24" s="2">
        <v>451</v>
      </c>
      <c r="AZ24" s="2">
        <v>0</v>
      </c>
      <c r="BA24" s="2">
        <v>0.83694505691528298</v>
      </c>
      <c r="BB24" s="2">
        <v>0</v>
      </c>
      <c r="BC24" s="2">
        <v>8.1361293792724595E-2</v>
      </c>
      <c r="BD24" s="5">
        <f>Graphes[[#This Row],[Max clique (lb)]]/Graphes[[#This Row],[Nb var]]</f>
        <v>1.1111111111111112E-2</v>
      </c>
      <c r="BE24" s="7">
        <f>Graphes[[#This Row],[Nb contraintes]]*Graphes[[#This Row],[ub]]*Graphes[[#This Row],[ub]]</f>
        <v>10583676</v>
      </c>
    </row>
    <row r="25" spans="1:57" x14ac:dyDescent="0.25">
      <c r="A25" t="s">
        <v>72</v>
      </c>
      <c r="B25">
        <v>5</v>
      </c>
      <c r="C25" s="2">
        <v>30.351600646972599</v>
      </c>
      <c r="D25">
        <v>450</v>
      </c>
      <c r="E25">
        <v>9747</v>
      </c>
      <c r="F25">
        <v>5</v>
      </c>
      <c r="G25">
        <v>69</v>
      </c>
      <c r="H25">
        <v>13</v>
      </c>
      <c r="I25" s="5">
        <f>(Graphes[[#This Row],[DS_Solution]]-Graphes[[#This Row],[Opt]])/Graphes[[#This Row],[Opt]]</f>
        <v>1.6</v>
      </c>
      <c r="J25" s="2">
        <v>1.35500860214233</v>
      </c>
      <c r="K25">
        <v>490</v>
      </c>
      <c r="L25">
        <v>22</v>
      </c>
      <c r="M25" s="2">
        <v>1.08403539657592</v>
      </c>
      <c r="N25" s="2">
        <v>0</v>
      </c>
      <c r="O25" s="2">
        <v>0.17490363121032701</v>
      </c>
      <c r="P25">
        <v>11</v>
      </c>
      <c r="Q25" s="5">
        <f>(Graphes[[#This Row],[FC_AC_30_sans_clique_Solution]]-Graphes[[#This Row],[Opt]])/Graphes[[#This Row],[Opt]]</f>
        <v>1.2</v>
      </c>
      <c r="R25" s="2">
        <v>2.8718459606170601</v>
      </c>
      <c r="S25">
        <v>451</v>
      </c>
      <c r="T25">
        <v>0</v>
      </c>
      <c r="U25" s="2">
        <v>1.2877395153045601</v>
      </c>
      <c r="V25" s="2">
        <v>1.2952806949615401</v>
      </c>
      <c r="W25" s="2">
        <v>0.19388151168823201</v>
      </c>
      <c r="X25">
        <v>10</v>
      </c>
      <c r="Y25" s="5">
        <f>(Graphes[[#This Row],[FC_AC_30_Solution]]-Graphes[[#This Row],[Opt]])/Graphes[[#This Row],[Opt]]</f>
        <v>1</v>
      </c>
      <c r="Z25" s="2">
        <v>3.2818641662597599</v>
      </c>
      <c r="AA25">
        <v>446</v>
      </c>
      <c r="AB25">
        <v>0</v>
      </c>
      <c r="AC25" s="2">
        <v>1.3730149269103999</v>
      </c>
      <c r="AD25" s="2">
        <v>1.57705330848693</v>
      </c>
      <c r="AE25" s="2">
        <v>0.213881015777587</v>
      </c>
      <c r="AF25">
        <v>10</v>
      </c>
      <c r="AG25" s="5">
        <f>(Graphes[[#This Row],[FC_AC_Solution]]-Graphes[[#This Row],[Opt]])/Graphes[[#This Row],[Opt]]</f>
        <v>1</v>
      </c>
      <c r="AH25" s="2">
        <v>7.4058260917663503</v>
      </c>
      <c r="AI25">
        <v>446</v>
      </c>
      <c r="AJ25">
        <v>0</v>
      </c>
      <c r="AK25" s="2">
        <v>0.98490381240844704</v>
      </c>
      <c r="AL25" s="2">
        <v>6.1860809326171804</v>
      </c>
      <c r="AM25" s="2">
        <v>0.14190697669982899</v>
      </c>
      <c r="AN25">
        <v>13</v>
      </c>
      <c r="AO25" s="5">
        <f>(Graphes[[#This Row],[FC_Solution]]-Graphes[[#This Row],[Opt]])/Graphes[[#This Row],[Opt]]</f>
        <v>1.6</v>
      </c>
      <c r="AP25" s="2">
        <v>0.90792536735534601</v>
      </c>
      <c r="AQ25">
        <v>490</v>
      </c>
      <c r="AR25">
        <v>22</v>
      </c>
      <c r="AS25" s="2">
        <v>0.65800380706787098</v>
      </c>
      <c r="AT25" s="2">
        <v>0</v>
      </c>
      <c r="AU25" s="2">
        <v>0.15286993980407701</v>
      </c>
      <c r="AV25" s="7">
        <v>11</v>
      </c>
      <c r="AW25" s="5">
        <f>(Graphes[[#This Row],[DS_sans_clique_Solution]]-Graphes[Opt])/Graphes[Opt]</f>
        <v>1.2</v>
      </c>
      <c r="AX25" s="2">
        <v>1.24513435363769</v>
      </c>
      <c r="AY25" s="2">
        <v>451</v>
      </c>
      <c r="AZ25" s="2">
        <v>0</v>
      </c>
      <c r="BA25" s="2">
        <v>0.99612188339233398</v>
      </c>
      <c r="BB25" s="2">
        <v>0</v>
      </c>
      <c r="BC25" s="2">
        <v>0.16054868698120101</v>
      </c>
      <c r="BD25" s="5">
        <f>Graphes[[#This Row],[Max clique (lb)]]/Graphes[[#This Row],[Nb var]]</f>
        <v>1.1111111111111112E-2</v>
      </c>
      <c r="BE25" s="7">
        <f>Graphes[[#This Row],[Nb contraintes]]*Graphes[[#This Row],[ub]]*Graphes[[#This Row],[ub]]</f>
        <v>46405467</v>
      </c>
    </row>
    <row r="26" spans="1:57" x14ac:dyDescent="0.25">
      <c r="A26" t="s">
        <v>46</v>
      </c>
      <c r="B26">
        <v>31</v>
      </c>
      <c r="C26" s="2">
        <v>28.860132455825799</v>
      </c>
      <c r="D26">
        <v>188</v>
      </c>
      <c r="E26">
        <v>3450</v>
      </c>
      <c r="F26">
        <v>30</v>
      </c>
      <c r="G26">
        <v>157</v>
      </c>
      <c r="H26">
        <v>31</v>
      </c>
      <c r="I26" s="5">
        <f>(Graphes[[#This Row],[DS_Solution]]-Graphes[[#This Row],[Opt]])/Graphes[[#This Row],[Opt]]</f>
        <v>0</v>
      </c>
      <c r="J26" s="2">
        <v>0.71913719177246005</v>
      </c>
      <c r="K26">
        <v>1675</v>
      </c>
      <c r="L26">
        <v>758</v>
      </c>
      <c r="M26" s="2">
        <v>0.56142210960388095</v>
      </c>
      <c r="N26" s="2">
        <v>0</v>
      </c>
      <c r="O26" s="2">
        <v>0.102317571640014</v>
      </c>
      <c r="P26">
        <v>31</v>
      </c>
      <c r="Q26" s="5">
        <f>(Graphes[[#This Row],[FC_AC_30_sans_clique_Solution]]-Graphes[[#This Row],[Opt]])/Graphes[[#This Row],[Opt]]</f>
        <v>0</v>
      </c>
      <c r="R26" s="2">
        <v>2.0900526046752899</v>
      </c>
      <c r="S26">
        <v>189</v>
      </c>
      <c r="T26">
        <v>0</v>
      </c>
      <c r="U26" s="2">
        <v>1.00027847290039</v>
      </c>
      <c r="V26" s="2">
        <v>0.89789319038391102</v>
      </c>
      <c r="W26" s="2">
        <v>0.16888999938964799</v>
      </c>
      <c r="X26">
        <v>31</v>
      </c>
      <c r="Y26" s="5">
        <f>(Graphes[[#This Row],[FC_AC_30_Solution]]-Graphes[[#This Row],[Opt]])/Graphes[[#This Row],[Opt]]</f>
        <v>0</v>
      </c>
      <c r="Z26" s="2">
        <v>2.0666158199310298</v>
      </c>
      <c r="AA26">
        <v>159</v>
      </c>
      <c r="AB26">
        <v>0</v>
      </c>
      <c r="AC26" s="2">
        <v>0.21709537506103499</v>
      </c>
      <c r="AD26" s="2">
        <v>1.7355921268463099</v>
      </c>
      <c r="AE26" s="2">
        <v>9.8932981491088798E-2</v>
      </c>
      <c r="AF26">
        <v>31</v>
      </c>
      <c r="AG26" s="5">
        <f>(Graphes[[#This Row],[FC_AC_Solution]]-Graphes[[#This Row],[Opt]])/Graphes[[#This Row],[Opt]]</f>
        <v>0</v>
      </c>
      <c r="AH26" s="2">
        <v>8.4678997993469203</v>
      </c>
      <c r="AI26">
        <v>159</v>
      </c>
      <c r="AJ26">
        <v>0</v>
      </c>
      <c r="AK26" s="2">
        <v>0.15819668769836401</v>
      </c>
      <c r="AL26" s="2">
        <v>8.2014193534851003</v>
      </c>
      <c r="AM26" s="2">
        <v>8.9806318283080999E-2</v>
      </c>
      <c r="AN26">
        <v>31</v>
      </c>
      <c r="AO26" s="5">
        <f>(Graphes[[#This Row],[FC_Solution]]-Graphes[[#This Row],[Opt]])/Graphes[[#This Row],[Opt]]</f>
        <v>0</v>
      </c>
      <c r="AP26" s="2">
        <v>0.79748225212097101</v>
      </c>
      <c r="AQ26">
        <v>1675</v>
      </c>
      <c r="AR26">
        <v>758</v>
      </c>
      <c r="AS26" s="2">
        <v>0.63727140426635698</v>
      </c>
      <c r="AT26" s="2">
        <v>0</v>
      </c>
      <c r="AU26" s="2">
        <v>0.107306718826293</v>
      </c>
      <c r="AV26" s="7">
        <v>31</v>
      </c>
      <c r="AW26" s="5">
        <f>(Graphes[[#This Row],[DS_sans_clique_Solution]]-Graphes[Opt])/Graphes[Opt]</f>
        <v>0</v>
      </c>
      <c r="AX26" s="2">
        <v>0.41870307922363198</v>
      </c>
      <c r="AY26" s="2">
        <v>189</v>
      </c>
      <c r="AZ26" s="2">
        <v>0</v>
      </c>
      <c r="BA26" s="2">
        <v>0.24605035781860299</v>
      </c>
      <c r="BB26" s="2">
        <v>0</v>
      </c>
      <c r="BC26" s="2">
        <v>0.15169501304626401</v>
      </c>
      <c r="BD26" s="5">
        <f>Graphes[[#This Row],[Max clique (lb)]]/Graphes[[#This Row],[Nb var]]</f>
        <v>0.15957446808510639</v>
      </c>
      <c r="BE26" s="7">
        <f>Graphes[[#This Row],[Nb contraintes]]*Graphes[[#This Row],[ub]]*Graphes[[#This Row],[ub]]</f>
        <v>85039050</v>
      </c>
    </row>
    <row r="27" spans="1:57" x14ac:dyDescent="0.25">
      <c r="A27" t="s">
        <v>43</v>
      </c>
      <c r="B27">
        <v>20</v>
      </c>
      <c r="C27" s="2">
        <v>8.1654741764068604</v>
      </c>
      <c r="D27">
        <v>128</v>
      </c>
      <c r="E27">
        <v>1998</v>
      </c>
      <c r="F27">
        <v>19</v>
      </c>
      <c r="G27">
        <v>39</v>
      </c>
      <c r="H27">
        <v>22</v>
      </c>
      <c r="I27" s="5">
        <f>(Graphes[[#This Row],[DS_Solution]]-Graphes[[#This Row],[Opt]])/Graphes[[#This Row],[Opt]]</f>
        <v>0.1</v>
      </c>
      <c r="J27" s="2">
        <v>6.8870306015014607E-2</v>
      </c>
      <c r="K27">
        <v>270</v>
      </c>
      <c r="L27">
        <v>80</v>
      </c>
      <c r="M27" s="2">
        <v>4.89182472229003E-2</v>
      </c>
      <c r="N27" s="2">
        <v>0</v>
      </c>
      <c r="O27" s="2">
        <v>1.39670372009277E-2</v>
      </c>
      <c r="P27">
        <v>20</v>
      </c>
      <c r="Q27" s="5">
        <f>(Graphes[[#This Row],[FC_AC_30_sans_clique_Solution]]-Graphes[[#This Row],[Opt]])/Graphes[[#This Row],[Opt]]</f>
        <v>0</v>
      </c>
      <c r="R27" s="2">
        <v>0.24211835861205999</v>
      </c>
      <c r="S27">
        <v>129</v>
      </c>
      <c r="T27">
        <v>0</v>
      </c>
      <c r="U27" s="2">
        <v>4.9973964691162102E-2</v>
      </c>
      <c r="V27" s="2">
        <v>0.170155525207519</v>
      </c>
      <c r="W27" s="2">
        <v>1.59885883331298E-2</v>
      </c>
      <c r="X27">
        <v>20</v>
      </c>
      <c r="Y27" s="5">
        <f>(Graphes[[#This Row],[FC_AC_30_Solution]]-Graphes[[#This Row],[Opt]])/Graphes[[#This Row],[Opt]]</f>
        <v>0</v>
      </c>
      <c r="Z27" s="2">
        <v>0.32000756263732899</v>
      </c>
      <c r="AA27">
        <v>110</v>
      </c>
      <c r="AB27">
        <v>0</v>
      </c>
      <c r="AC27" s="2">
        <v>2.89855003356933E-2</v>
      </c>
      <c r="AD27" s="2">
        <v>0.27303695678710899</v>
      </c>
      <c r="AE27" s="2">
        <v>1.19895935058593E-2</v>
      </c>
      <c r="AF27">
        <v>20</v>
      </c>
      <c r="AG27" s="5">
        <f>(Graphes[[#This Row],[FC_AC_Solution]]-Graphes[[#This Row],[Opt]])/Graphes[[#This Row],[Opt]]</f>
        <v>0</v>
      </c>
      <c r="AH27" s="2">
        <v>6.4327714443206698</v>
      </c>
      <c r="AI27">
        <v>110</v>
      </c>
      <c r="AJ27">
        <v>0</v>
      </c>
      <c r="AK27" s="2">
        <v>0.40923047065734802</v>
      </c>
      <c r="AL27" s="2">
        <v>5.9182331562042201</v>
      </c>
      <c r="AM27" s="2">
        <v>7.8852176666259696E-2</v>
      </c>
      <c r="AN27">
        <v>22</v>
      </c>
      <c r="AO27" s="5">
        <f>(Graphes[[#This Row],[FC_Solution]]-Graphes[[#This Row],[Opt]])/Graphes[[#This Row],[Opt]]</f>
        <v>0.1</v>
      </c>
      <c r="AP27" s="2">
        <v>0.79299187660217196</v>
      </c>
      <c r="AQ27">
        <v>270</v>
      </c>
      <c r="AR27">
        <v>80</v>
      </c>
      <c r="AS27" s="2">
        <v>0.42917037010192799</v>
      </c>
      <c r="AT27" s="2">
        <v>0</v>
      </c>
      <c r="AU27" s="2">
        <v>0.230565786361694</v>
      </c>
      <c r="AV27" s="7">
        <v>20</v>
      </c>
      <c r="AW27" s="5">
        <f>(Graphes[[#This Row],[DS_sans_clique_Solution]]-Graphes[Opt])/Graphes[Opt]</f>
        <v>0</v>
      </c>
      <c r="AX27" s="2">
        <v>6.6376686096191406E-2</v>
      </c>
      <c r="AY27" s="2">
        <v>129</v>
      </c>
      <c r="AZ27" s="2">
        <v>0</v>
      </c>
      <c r="BA27" s="2">
        <v>4.1423797607421799E-2</v>
      </c>
      <c r="BB27" s="2">
        <v>0</v>
      </c>
      <c r="BC27" s="2">
        <v>1.7966270446777299E-2</v>
      </c>
      <c r="BD27" s="5">
        <f>Graphes[[#This Row],[Max clique (lb)]]/Graphes[[#This Row],[Nb var]]</f>
        <v>0.1484375</v>
      </c>
      <c r="BE27" s="7">
        <f>Graphes[[#This Row],[Nb contraintes]]*Graphes[[#This Row],[ub]]*Graphes[[#This Row],[ub]]</f>
        <v>3038958</v>
      </c>
    </row>
    <row r="28" spans="1:57" x14ac:dyDescent="0.25">
      <c r="A28" t="s">
        <v>19</v>
      </c>
      <c r="B28" t="s">
        <v>16</v>
      </c>
      <c r="C28" s="2">
        <v>0.80646824836730902</v>
      </c>
      <c r="D28">
        <v>1000</v>
      </c>
      <c r="E28">
        <v>796</v>
      </c>
      <c r="F28">
        <v>3</v>
      </c>
      <c r="G28">
        <v>22</v>
      </c>
      <c r="H28">
        <v>7</v>
      </c>
      <c r="I28" s="5" t="e">
        <f>(Graphes[[#This Row],[DS_Solution]]-Graphes[[#This Row],[Opt]])/Graphes[[#This Row],[Opt]]</f>
        <v>#VALUE!</v>
      </c>
      <c r="J28" s="2">
        <v>2.51272416114807</v>
      </c>
      <c r="K28">
        <v>1016</v>
      </c>
      <c r="L28">
        <v>9</v>
      </c>
      <c r="M28" s="2">
        <v>2.1478922367095898</v>
      </c>
      <c r="N28" s="2">
        <v>0</v>
      </c>
      <c r="O28" s="2">
        <v>1.24819278717041E-2</v>
      </c>
      <c r="P28">
        <v>6</v>
      </c>
      <c r="Q28" s="5" t="e">
        <f>(Graphes[[#This Row],[FC_AC_30_sans_clique_Solution]]-Graphes[[#This Row],[Opt]])/Graphes[[#This Row],[Opt]]</f>
        <v>#VALUE!</v>
      </c>
      <c r="R28">
        <v>3.9354281425475999</v>
      </c>
      <c r="S28">
        <v>1001</v>
      </c>
      <c r="T28">
        <v>0</v>
      </c>
      <c r="U28">
        <v>3.5624463558196999</v>
      </c>
      <c r="V28">
        <v>2.79831886291503E-2</v>
      </c>
      <c r="W28">
        <v>9.9928379058837804E-3</v>
      </c>
      <c r="X28">
        <v>7</v>
      </c>
      <c r="Y28" s="5" t="e">
        <f>(Graphes[[#This Row],[FC_AC_30_Solution]]-Graphes[[#This Row],[Opt]])/Graphes[[#This Row],[Opt]]</f>
        <v>#VALUE!</v>
      </c>
      <c r="Z28" s="2">
        <v>3.2578611373901301</v>
      </c>
      <c r="AA28">
        <v>998</v>
      </c>
      <c r="AB28">
        <v>0</v>
      </c>
      <c r="AC28" s="2">
        <v>2.8288929462432799</v>
      </c>
      <c r="AD28" s="2">
        <v>3.8975954055786098E-2</v>
      </c>
      <c r="AE28" s="2">
        <v>8.9941024780273403E-3</v>
      </c>
      <c r="AF28">
        <v>7</v>
      </c>
      <c r="AG28" s="5" t="e">
        <f>(Graphes[[#This Row],[FC_AC_Solution]]-Graphes[[#This Row],[Opt]])/Graphes[[#This Row],[Opt]]</f>
        <v>#VALUE!</v>
      </c>
      <c r="AH28" s="2">
        <v>4.0952160358428902</v>
      </c>
      <c r="AI28">
        <v>998</v>
      </c>
      <c r="AJ28">
        <v>0</v>
      </c>
      <c r="AK28" s="2">
        <v>3.6265900135040199</v>
      </c>
      <c r="AL28" s="2">
        <v>0.111275196075439</v>
      </c>
      <c r="AM28" s="2">
        <v>7.9848766326904297E-3</v>
      </c>
      <c r="AN28">
        <v>7</v>
      </c>
      <c r="AO28" s="5" t="e">
        <f>(Graphes[[#This Row],[FC_Solution]]-Graphes[[#This Row],[Opt]])/Graphes[[#This Row],[Opt]]</f>
        <v>#VALUE!</v>
      </c>
      <c r="AP28" s="2">
        <v>4.4969487190246502</v>
      </c>
      <c r="AQ28">
        <v>1016</v>
      </c>
      <c r="AR28">
        <v>9</v>
      </c>
      <c r="AS28" s="2">
        <v>4.1286387443542401</v>
      </c>
      <c r="AT28" s="2">
        <v>0</v>
      </c>
      <c r="AU28" s="2">
        <v>1.14710330963134E-2</v>
      </c>
      <c r="AV28" s="7">
        <v>6</v>
      </c>
      <c r="AW28" s="5" t="e">
        <f>(Graphes[[#This Row],[DS_sans_clique_Solution]]-Graphes[Opt])/Graphes[Opt]</f>
        <v>#VALUE!</v>
      </c>
      <c r="AX28" s="2">
        <v>10.356297731399501</v>
      </c>
      <c r="AY28" s="2">
        <v>1001</v>
      </c>
      <c r="AZ28" s="2">
        <v>0</v>
      </c>
      <c r="BA28" s="2">
        <v>9.0943260192871094</v>
      </c>
      <c r="BB28" s="2">
        <v>0</v>
      </c>
      <c r="BC28" s="2">
        <v>6.9377183914184501E-2</v>
      </c>
      <c r="BD28" s="5">
        <f>Graphes[[#This Row],[Max clique (lb)]]/Graphes[[#This Row],[Nb var]]</f>
        <v>3.0000000000000001E-3</v>
      </c>
      <c r="BE28" s="2">
        <f>Graphes[[#This Row],[Nb contraintes]]*Graphes[[#This Row],[ub]]*Graphes[[#This Row],[ub]]</f>
        <v>385264</v>
      </c>
    </row>
    <row r="29" spans="1:57" x14ac:dyDescent="0.25">
      <c r="A29" t="s">
        <v>20</v>
      </c>
      <c r="B29" t="s">
        <v>16</v>
      </c>
      <c r="C29" s="2">
        <v>8.8681399822235107</v>
      </c>
      <c r="D29">
        <v>1000</v>
      </c>
      <c r="E29">
        <v>1820</v>
      </c>
      <c r="F29">
        <v>7</v>
      </c>
      <c r="G29">
        <v>55</v>
      </c>
      <c r="H29">
        <v>18</v>
      </c>
      <c r="I29" s="5" t="e">
        <f>(Graphes[[#This Row],[DS_Solution]]-Graphes[[#This Row],[Opt]])/Graphes[[#This Row],[Opt]]</f>
        <v>#VALUE!</v>
      </c>
      <c r="J29" s="2">
        <v>4.4166312217712402</v>
      </c>
      <c r="K29">
        <v>1052</v>
      </c>
      <c r="L29">
        <v>29</v>
      </c>
      <c r="M29" s="2">
        <v>3.7442040443420401</v>
      </c>
      <c r="N29" s="2">
        <v>0</v>
      </c>
      <c r="O29" s="2">
        <v>0.197232961654663</v>
      </c>
      <c r="P29">
        <v>17</v>
      </c>
      <c r="Q29" s="5" t="e">
        <f>(Graphes[[#This Row],[FC_AC_30_sans_clique_Solution]]-Graphes[[#This Row],[Opt]])/Graphes[[#This Row],[Opt]]</f>
        <v>#VALUE!</v>
      </c>
      <c r="R29">
        <v>5.4885282516479403</v>
      </c>
      <c r="S29">
        <v>1001</v>
      </c>
      <c r="T29">
        <v>0</v>
      </c>
      <c r="U29">
        <v>4.8214058876037598</v>
      </c>
      <c r="V29">
        <v>0.19487953186035101</v>
      </c>
      <c r="W29">
        <v>3.5973310470580999E-2</v>
      </c>
      <c r="X29">
        <v>17</v>
      </c>
      <c r="Y29" s="5" t="e">
        <f>(Graphes[[#This Row],[FC_AC_30_Solution]]-Graphes[[#This Row],[Opt]])/Graphes[[#This Row],[Opt]]</f>
        <v>#VALUE!</v>
      </c>
      <c r="Z29" s="2">
        <v>5.7964975833892796</v>
      </c>
      <c r="AA29">
        <v>994</v>
      </c>
      <c r="AB29">
        <v>0</v>
      </c>
      <c r="AC29" s="2">
        <v>4.8318059444427401</v>
      </c>
      <c r="AD29" s="2">
        <v>0.46897673606872498</v>
      </c>
      <c r="AE29" s="2">
        <v>3.0990362167358398E-2</v>
      </c>
      <c r="AF29">
        <v>17</v>
      </c>
      <c r="AG29" s="5" t="e">
        <f>(Graphes[[#This Row],[FC_AC_Solution]]-Graphes[[#This Row],[Opt]])/Graphes[[#This Row],[Opt]]</f>
        <v>#VALUE!</v>
      </c>
      <c r="AH29" s="2">
        <v>5.3523237705230704</v>
      </c>
      <c r="AI29">
        <v>994</v>
      </c>
      <c r="AJ29">
        <v>0</v>
      </c>
      <c r="AK29" s="2">
        <v>3.49176025390625</v>
      </c>
      <c r="AL29" s="2">
        <v>1.34742808341979</v>
      </c>
      <c r="AM29" s="2">
        <v>2.8955698013305602E-2</v>
      </c>
      <c r="AN29">
        <v>18</v>
      </c>
      <c r="AO29" s="5" t="e">
        <f>(Graphes[[#This Row],[FC_Solution]]-Graphes[[#This Row],[Opt]])/Graphes[[#This Row],[Opt]]</f>
        <v>#VALUE!</v>
      </c>
      <c r="AP29" s="2">
        <v>10.954174280166599</v>
      </c>
      <c r="AQ29">
        <v>1052</v>
      </c>
      <c r="AR29">
        <v>29</v>
      </c>
      <c r="AS29" s="2">
        <v>9.7488710880279505</v>
      </c>
      <c r="AT29" s="2">
        <v>0</v>
      </c>
      <c r="AU29" s="2">
        <v>3.8434743881225503E-2</v>
      </c>
      <c r="AV29" s="7">
        <v>17</v>
      </c>
      <c r="AW29" s="5" t="e">
        <f>(Graphes[[#This Row],[DS_sans_clique_Solution]]-Graphes[Opt])/Graphes[Opt]</f>
        <v>#VALUE!</v>
      </c>
      <c r="AX29" s="2">
        <v>5.16168189048767</v>
      </c>
      <c r="AY29" s="2">
        <v>1001</v>
      </c>
      <c r="AZ29" s="2">
        <v>0</v>
      </c>
      <c r="BA29" s="2">
        <v>4.6862924098968497</v>
      </c>
      <c r="BB29" s="2">
        <v>0</v>
      </c>
      <c r="BC29" s="2">
        <v>2.94480323791503E-2</v>
      </c>
      <c r="BD29" s="5">
        <f>Graphes[[#This Row],[Max clique (lb)]]/Graphes[[#This Row],[Nb var]]</f>
        <v>7.0000000000000001E-3</v>
      </c>
      <c r="BE29" s="2">
        <f>Graphes[[#This Row],[Nb contraintes]]*Graphes[[#This Row],[ub]]*Graphes[[#This Row],[ub]]</f>
        <v>5505500</v>
      </c>
    </row>
    <row r="30" spans="1:57" x14ac:dyDescent="0.25">
      <c r="A30" t="s">
        <v>21</v>
      </c>
      <c r="B30" t="s">
        <v>16</v>
      </c>
      <c r="C30" s="2">
        <v>1.2241690158843901</v>
      </c>
      <c r="D30">
        <v>125</v>
      </c>
      <c r="E30">
        <v>730</v>
      </c>
      <c r="F30">
        <v>4</v>
      </c>
      <c r="G30">
        <v>24</v>
      </c>
      <c r="H30">
        <v>7</v>
      </c>
      <c r="I30" s="5" t="e">
        <f>(Graphes[[#This Row],[DS_Solution]]-Graphes[[#This Row],[Opt]])/Graphes[[#This Row],[Opt]]</f>
        <v>#VALUE!</v>
      </c>
      <c r="J30" s="2">
        <v>4.1422605514526298E-2</v>
      </c>
      <c r="K30">
        <v>148</v>
      </c>
      <c r="L30">
        <v>13</v>
      </c>
      <c r="M30" s="2">
        <v>3.0442237854003899E-2</v>
      </c>
      <c r="N30" s="2">
        <v>0</v>
      </c>
      <c r="O30" s="2">
        <v>7.4908733367919896E-3</v>
      </c>
      <c r="P30">
        <v>6</v>
      </c>
      <c r="Q30" s="5" t="e">
        <f>(Graphes[[#This Row],[FC_AC_30_sans_clique_Solution]]-Graphes[[#This Row],[Opt]])/Graphes[[#This Row],[Opt]]</f>
        <v>#VALUE!</v>
      </c>
      <c r="R30">
        <v>7.7949047088623005E-2</v>
      </c>
      <c r="S30">
        <v>126</v>
      </c>
      <c r="T30">
        <v>0</v>
      </c>
      <c r="U30">
        <v>2.9981613159179601E-2</v>
      </c>
      <c r="V30">
        <v>2.5983333587646401E-2</v>
      </c>
      <c r="W30">
        <v>4.9970149993896398E-3</v>
      </c>
      <c r="X30">
        <v>6</v>
      </c>
      <c r="Y30" s="5" t="e">
        <f>(Graphes[[#This Row],[FC_AC_30_Solution]]-Graphes[[#This Row],[Opt]])/Graphes[[#This Row],[Opt]]</f>
        <v>#VALUE!</v>
      </c>
      <c r="Z30" s="2">
        <v>8.4946393966674805E-2</v>
      </c>
      <c r="AA30">
        <v>122</v>
      </c>
      <c r="AB30">
        <v>0</v>
      </c>
      <c r="AC30" s="2">
        <v>1.9979715347290001E-2</v>
      </c>
      <c r="AD30" s="2">
        <v>3.9974212646484299E-2</v>
      </c>
      <c r="AE30" s="2">
        <v>9.0038776397704991E-3</v>
      </c>
      <c r="AF30">
        <v>6</v>
      </c>
      <c r="AG30" s="5" t="e">
        <f>(Graphes[[#This Row],[FC_AC_Solution]]-Graphes[[#This Row],[Opt]])/Graphes[[#This Row],[Opt]]</f>
        <v>#VALUE!</v>
      </c>
      <c r="AH30" s="2">
        <v>0.34234738349914501</v>
      </c>
      <c r="AI30">
        <v>122</v>
      </c>
      <c r="AJ30">
        <v>0</v>
      </c>
      <c r="AK30" s="2">
        <v>6.1387777328491197E-2</v>
      </c>
      <c r="AL30" s="2">
        <v>0.25800371170043901</v>
      </c>
      <c r="AM30" s="2">
        <v>1.04768276214599E-2</v>
      </c>
      <c r="AN30">
        <v>7</v>
      </c>
      <c r="AO30" s="5" t="e">
        <f>(Graphes[[#This Row],[FC_Solution]]-Graphes[[#This Row],[Opt]])/Graphes[[#This Row],[Opt]]</f>
        <v>#VALUE!</v>
      </c>
      <c r="AP30" s="2">
        <v>0.203114509582519</v>
      </c>
      <c r="AQ30">
        <v>148</v>
      </c>
      <c r="AR30">
        <v>13</v>
      </c>
      <c r="AS30" s="2">
        <v>0.144211530685424</v>
      </c>
      <c r="AT30" s="2">
        <v>0</v>
      </c>
      <c r="AU30" s="2">
        <v>2.5963544845580999E-2</v>
      </c>
      <c r="AV30" s="7">
        <v>6</v>
      </c>
      <c r="AW30" s="5" t="e">
        <f>(Graphes[[#This Row],[DS_sans_clique_Solution]]-Graphes[Opt])/Graphes[Opt]</f>
        <v>#VALUE!</v>
      </c>
      <c r="AX30" s="2">
        <v>4.4412612915039E-2</v>
      </c>
      <c r="AY30" s="2">
        <v>126</v>
      </c>
      <c r="AZ30" s="2">
        <v>0</v>
      </c>
      <c r="BA30" s="2">
        <v>2.64482498168945E-2</v>
      </c>
      <c r="BB30" s="2">
        <v>0</v>
      </c>
      <c r="BC30" s="2">
        <v>5.9895515441894497E-3</v>
      </c>
      <c r="BD30" s="5">
        <f>Graphes[[#This Row],[Max clique (lb)]]/Graphes[[#This Row],[Nb var]]</f>
        <v>3.2000000000000001E-2</v>
      </c>
      <c r="BE30" s="2">
        <f>Graphes[[#This Row],[Nb contraintes]]*Graphes[[#This Row],[ub]]*Graphes[[#This Row],[ub]]</f>
        <v>420480</v>
      </c>
    </row>
    <row r="31" spans="1:57" x14ac:dyDescent="0.25">
      <c r="A31" t="s">
        <v>47</v>
      </c>
      <c r="B31">
        <v>31</v>
      </c>
      <c r="C31" s="2">
        <v>32.671885013580301</v>
      </c>
      <c r="D31">
        <v>184</v>
      </c>
      <c r="E31">
        <v>3481</v>
      </c>
      <c r="F31">
        <v>30</v>
      </c>
      <c r="G31">
        <v>158</v>
      </c>
      <c r="H31">
        <v>31</v>
      </c>
      <c r="I31" s="5">
        <f>(Graphes[[#This Row],[DS_Solution]]-Graphes[[#This Row],[Opt]])/Graphes[[#This Row],[Opt]]</f>
        <v>0</v>
      </c>
      <c r="J31" s="2">
        <v>0.72063159942626898</v>
      </c>
      <c r="K31">
        <v>1671</v>
      </c>
      <c r="L31">
        <v>758</v>
      </c>
      <c r="M31" s="2">
        <v>0.56544494628906194</v>
      </c>
      <c r="N31" s="2">
        <v>0</v>
      </c>
      <c r="O31" s="2">
        <v>9.97967720031738E-2</v>
      </c>
      <c r="P31">
        <v>31</v>
      </c>
      <c r="Q31" s="5">
        <f>(Graphes[[#This Row],[FC_AC_30_sans_clique_Solution]]-Graphes[[#This Row],[Opt]])/Graphes[[#This Row],[Opt]]</f>
        <v>0</v>
      </c>
      <c r="R31" s="2">
        <v>1.4039571285247801</v>
      </c>
      <c r="S31">
        <v>185</v>
      </c>
      <c r="T31">
        <v>0</v>
      </c>
      <c r="U31" s="2">
        <v>0.30911874771118097</v>
      </c>
      <c r="V31" s="2">
        <v>0.90296554565429599</v>
      </c>
      <c r="W31" s="2">
        <v>0.166890144348144</v>
      </c>
      <c r="X31">
        <v>31</v>
      </c>
      <c r="Y31" s="5">
        <f>(Graphes[[#This Row],[FC_AC_30_Solution]]-Graphes[[#This Row],[Opt]])/Graphes[[#This Row],[Opt]]</f>
        <v>0</v>
      </c>
      <c r="Z31" s="2">
        <v>2.1566321849822998</v>
      </c>
      <c r="AA31">
        <v>155</v>
      </c>
      <c r="AB31">
        <v>0</v>
      </c>
      <c r="AC31" s="2">
        <v>0.20488095283508301</v>
      </c>
      <c r="AD31" s="2">
        <v>1.8278338909149101</v>
      </c>
      <c r="AE31" s="2">
        <v>0.101930856704711</v>
      </c>
      <c r="AF31">
        <v>31</v>
      </c>
      <c r="AG31" s="5">
        <f>(Graphes[[#This Row],[FC_AC_Solution]]-Graphes[[#This Row],[Opt]])/Graphes[[#This Row],[Opt]]</f>
        <v>0</v>
      </c>
      <c r="AH31" s="2">
        <v>8.3471274375915492</v>
      </c>
      <c r="AI31">
        <v>155</v>
      </c>
      <c r="AJ31">
        <v>0</v>
      </c>
      <c r="AK31" s="2">
        <v>0.155704736709594</v>
      </c>
      <c r="AL31" s="2">
        <v>8.0916271209716797</v>
      </c>
      <c r="AM31" s="2">
        <v>8.3827972412109306E-2</v>
      </c>
      <c r="AN31">
        <v>31</v>
      </c>
      <c r="AO31" s="5">
        <f>(Graphes[[#This Row],[FC_Solution]]-Graphes[[#This Row],[Opt]])/Graphes[[#This Row],[Opt]]</f>
        <v>0</v>
      </c>
      <c r="AP31" s="2">
        <v>0.76255249977111805</v>
      </c>
      <c r="AQ31">
        <v>1671</v>
      </c>
      <c r="AR31">
        <v>758</v>
      </c>
      <c r="AS31" s="2">
        <v>0.599858999252319</v>
      </c>
      <c r="AT31" s="2">
        <v>0</v>
      </c>
      <c r="AU31" s="2">
        <v>0.10679268836975001</v>
      </c>
      <c r="AV31" s="7">
        <v>31</v>
      </c>
      <c r="AW31" s="5">
        <f>(Graphes[[#This Row],[DS_sans_clique_Solution]]-Graphes[Opt])/Graphes[Opt]</f>
        <v>0</v>
      </c>
      <c r="AX31" s="2">
        <v>0.90477514266967696</v>
      </c>
      <c r="AY31" s="2">
        <v>185</v>
      </c>
      <c r="AZ31" s="2">
        <v>0</v>
      </c>
      <c r="BA31" s="2">
        <v>0.73299956321716297</v>
      </c>
      <c r="BB31" s="2">
        <v>0</v>
      </c>
      <c r="BC31" s="2">
        <v>0.15530562400817799</v>
      </c>
      <c r="BD31" s="5">
        <f>Graphes[[#This Row],[Max clique (lb)]]/Graphes[[#This Row],[Nb var]]</f>
        <v>0.16304347826086957</v>
      </c>
      <c r="BE31" s="7">
        <f>Graphes[[#This Row],[Nb contraintes]]*Graphes[[#This Row],[ub]]*Graphes[[#This Row],[ub]]</f>
        <v>86899684</v>
      </c>
    </row>
    <row r="32" spans="1:57" x14ac:dyDescent="0.25">
      <c r="A32" t="s">
        <v>23</v>
      </c>
      <c r="B32" t="s">
        <v>16</v>
      </c>
      <c r="C32" s="2">
        <v>39.108148813247603</v>
      </c>
      <c r="D32">
        <v>125</v>
      </c>
      <c r="E32">
        <v>6555</v>
      </c>
      <c r="F32">
        <v>29</v>
      </c>
      <c r="G32">
        <v>121</v>
      </c>
      <c r="H32">
        <v>58</v>
      </c>
      <c r="I32" s="5" t="e">
        <f>(Graphes[[#This Row],[DS_Solution]]-Graphes[[#This Row],[Opt]])/Graphes[[#This Row],[Opt]]</f>
        <v>#VALUE!</v>
      </c>
      <c r="J32" s="2">
        <v>0.51402378082275302</v>
      </c>
      <c r="K32">
        <v>877</v>
      </c>
      <c r="L32">
        <v>390</v>
      </c>
      <c r="M32" s="2">
        <v>0.23405218124389601</v>
      </c>
      <c r="N32" s="2">
        <v>0</v>
      </c>
      <c r="O32" s="2">
        <v>0.25450944900512601</v>
      </c>
      <c r="P32">
        <v>52</v>
      </c>
      <c r="Q32" s="5" t="e">
        <f>(Graphes[[#This Row],[FC_AC_30_sans_clique_Solution]]-Graphes[[#This Row],[Opt]])/Graphes[[#This Row],[Opt]]</f>
        <v>#VALUE!</v>
      </c>
      <c r="R32">
        <v>3.0636117458343501</v>
      </c>
      <c r="S32">
        <v>126</v>
      </c>
      <c r="T32">
        <v>0</v>
      </c>
      <c r="U32">
        <v>7.6924085617065402E-2</v>
      </c>
      <c r="V32">
        <v>2.8127665519714302</v>
      </c>
      <c r="W32">
        <v>0.162927150726318</v>
      </c>
      <c r="X32">
        <v>54</v>
      </c>
      <c r="Y32" s="5" t="e">
        <f>(Graphes[[#This Row],[FC_AC_30_Solution]]-Graphes[[#This Row],[Opt]])/Graphes[[#This Row],[Opt]]</f>
        <v>#VALUE!</v>
      </c>
      <c r="Z32" s="2">
        <v>16.4680511951446</v>
      </c>
      <c r="AA32">
        <v>97</v>
      </c>
      <c r="AB32">
        <v>0</v>
      </c>
      <c r="AC32" s="2">
        <v>5.2070856094360303E-2</v>
      </c>
      <c r="AD32" s="2">
        <v>16.306912660598702</v>
      </c>
      <c r="AE32" s="2">
        <v>9.90726947784423E-2</v>
      </c>
      <c r="AF32">
        <v>54</v>
      </c>
      <c r="AG32" s="5" t="e">
        <f>(Graphes[[#This Row],[FC_AC_Solution]]-Graphes[[#This Row],[Opt]])/Graphes[[#This Row],[Opt]]</f>
        <v>#VALUE!</v>
      </c>
      <c r="AH32" s="2">
        <v>22.858041524887</v>
      </c>
      <c r="AI32">
        <v>97</v>
      </c>
      <c r="AJ32">
        <v>0</v>
      </c>
      <c r="AK32" s="2">
        <v>4.19211387634277E-2</v>
      </c>
      <c r="AL32" s="2">
        <v>22.720813512802099</v>
      </c>
      <c r="AM32" s="2">
        <v>9.0320348739623996E-2</v>
      </c>
      <c r="AN32">
        <v>58</v>
      </c>
      <c r="AO32" s="5" t="e">
        <f>(Graphes[[#This Row],[FC_Solution]]-Graphes[[#This Row],[Opt]])/Graphes[[#This Row],[Opt]]</f>
        <v>#VALUE!</v>
      </c>
      <c r="AP32" s="2">
        <v>0.53198766708374001</v>
      </c>
      <c r="AQ32">
        <v>877</v>
      </c>
      <c r="AR32">
        <v>390</v>
      </c>
      <c r="AS32" s="2">
        <v>0.24606084823608301</v>
      </c>
      <c r="AT32" s="2">
        <v>0</v>
      </c>
      <c r="AU32" s="2">
        <v>0.26297640800476002</v>
      </c>
      <c r="AV32" s="7">
        <v>52</v>
      </c>
      <c r="AW32" s="5" t="e">
        <f>(Graphes[[#This Row],[DS_sans_clique_Solution]]-Graphes[Opt])/Graphes[Opt]</f>
        <v>#VALUE!</v>
      </c>
      <c r="AX32" s="2">
        <v>0.25202059745788502</v>
      </c>
      <c r="AY32" s="2">
        <v>126</v>
      </c>
      <c r="AZ32" s="2">
        <v>0</v>
      </c>
      <c r="BA32" s="2">
        <v>7.4654817581176702E-2</v>
      </c>
      <c r="BB32" s="2">
        <v>0</v>
      </c>
      <c r="BC32" s="2">
        <v>0.169878959655761</v>
      </c>
      <c r="BD32" s="5">
        <f>Graphes[[#This Row],[Max clique (lb)]]/Graphes[[#This Row],[Nb var]]</f>
        <v>0.23200000000000001</v>
      </c>
      <c r="BE32" s="2">
        <f>Graphes[[#This Row],[Nb contraintes]]*Graphes[[#This Row],[ub]]*Graphes[[#This Row],[ub]]</f>
        <v>95971755</v>
      </c>
    </row>
    <row r="33" spans="1:57" x14ac:dyDescent="0.25">
      <c r="A33" t="s">
        <v>24</v>
      </c>
      <c r="B33" t="s">
        <v>16</v>
      </c>
      <c r="C33" s="2">
        <v>14.239928007125799</v>
      </c>
      <c r="D33">
        <v>250</v>
      </c>
      <c r="E33">
        <v>1210</v>
      </c>
      <c r="F33">
        <v>4</v>
      </c>
      <c r="G33">
        <v>27</v>
      </c>
      <c r="H33">
        <v>8</v>
      </c>
      <c r="I33" s="5" t="e">
        <f>(Graphes[[#This Row],[DS_Solution]]-Graphes[[#This Row],[Opt]])/Graphes[[#This Row],[Opt]]</f>
        <v>#VALUE!</v>
      </c>
      <c r="J33" s="2">
        <v>0.152209997177124</v>
      </c>
      <c r="K33">
        <v>263</v>
      </c>
      <c r="L33">
        <v>8</v>
      </c>
      <c r="M33" s="2">
        <v>0.11976408958435</v>
      </c>
      <c r="N33" s="2">
        <v>0</v>
      </c>
      <c r="O33" s="2">
        <v>9.9823474884033203E-3</v>
      </c>
      <c r="P33">
        <v>7</v>
      </c>
      <c r="Q33" s="5" t="e">
        <f>(Graphes[[#This Row],[FC_AC_30_sans_clique_Solution]]-Graphes[[#This Row],[Opt]])/Graphes[[#This Row],[Opt]]</f>
        <v>#VALUE!</v>
      </c>
      <c r="R33">
        <v>0.25216221809387201</v>
      </c>
      <c r="S33">
        <v>251</v>
      </c>
      <c r="T33">
        <v>0</v>
      </c>
      <c r="U33">
        <v>0.147909641265869</v>
      </c>
      <c r="V33">
        <v>5.7281970977783203E-2</v>
      </c>
      <c r="W33">
        <v>1.29945278167724E-2</v>
      </c>
      <c r="X33">
        <v>8</v>
      </c>
      <c r="Y33" s="5" t="e">
        <f>(Graphes[[#This Row],[FC_AC_30_Solution]]-Graphes[[#This Row],[Opt]])/Graphes[[#This Row],[Opt]]</f>
        <v>#VALUE!</v>
      </c>
      <c r="Z33" s="2">
        <v>0.22886157035827601</v>
      </c>
      <c r="AA33">
        <v>247</v>
      </c>
      <c r="AB33">
        <v>0</v>
      </c>
      <c r="AC33" s="2">
        <v>0.126919269561767</v>
      </c>
      <c r="AD33" s="2">
        <v>6.2960147857666002E-2</v>
      </c>
      <c r="AE33" s="2">
        <v>1.09939575195312E-2</v>
      </c>
      <c r="AF33">
        <v>8</v>
      </c>
      <c r="AG33" s="5" t="e">
        <f>(Graphes[[#This Row],[FC_AC_Solution]]-Graphes[[#This Row],[Opt]])/Graphes[[#This Row],[Opt]]</f>
        <v>#VALUE!</v>
      </c>
      <c r="AH33" s="2">
        <v>2.6669299602508501</v>
      </c>
      <c r="AI33">
        <v>247</v>
      </c>
      <c r="AJ33">
        <v>0</v>
      </c>
      <c r="AK33" s="2">
        <v>1.08694100379943</v>
      </c>
      <c r="AL33" s="2">
        <v>1.3439369201660101</v>
      </c>
      <c r="AM33" s="2">
        <v>5.8894157409667899E-2</v>
      </c>
      <c r="AN33">
        <v>8</v>
      </c>
      <c r="AO33" s="5" t="e">
        <f>(Graphes[[#This Row],[FC_Solution]]-Graphes[[#This Row],[Opt]])/Graphes[[#This Row],[Opt]]</f>
        <v>#VALUE!</v>
      </c>
      <c r="AP33" s="2">
        <v>1.48467588424682</v>
      </c>
      <c r="AQ33">
        <v>263</v>
      </c>
      <c r="AR33">
        <v>8</v>
      </c>
      <c r="AS33" s="2">
        <v>1.30850410461425</v>
      </c>
      <c r="AT33" s="2">
        <v>0</v>
      </c>
      <c r="AU33" s="2">
        <v>4.1931629180908203E-2</v>
      </c>
      <c r="AV33" s="7">
        <v>7</v>
      </c>
      <c r="AW33" s="5" t="e">
        <f>(Graphes[[#This Row],[DS_sans_clique_Solution]]-Graphes[Opt])/Graphes[Opt]</f>
        <v>#VALUE!</v>
      </c>
      <c r="AX33" s="2">
        <v>0.15819740295410101</v>
      </c>
      <c r="AY33" s="2">
        <v>251</v>
      </c>
      <c r="AZ33" s="2">
        <v>0</v>
      </c>
      <c r="BA33" s="2">
        <v>0.12227368354797299</v>
      </c>
      <c r="BB33" s="2">
        <v>0</v>
      </c>
      <c r="BC33" s="2">
        <v>1.24740600585937E-2</v>
      </c>
      <c r="BD33" s="5">
        <f>Graphes[[#This Row],[Max clique (lb)]]/Graphes[[#This Row],[Nb var]]</f>
        <v>1.6E-2</v>
      </c>
      <c r="BE33" s="2">
        <f>Graphes[[#This Row],[Nb contraintes]]*Graphes[[#This Row],[ub]]*Graphes[[#This Row],[ub]]</f>
        <v>882090</v>
      </c>
    </row>
    <row r="34" spans="1:57" x14ac:dyDescent="0.25">
      <c r="A34" t="s">
        <v>27</v>
      </c>
      <c r="B34" t="s">
        <v>16</v>
      </c>
      <c r="C34" s="2">
        <v>0.232059717178344</v>
      </c>
      <c r="D34">
        <v>500</v>
      </c>
      <c r="E34">
        <v>407</v>
      </c>
      <c r="F34">
        <v>13</v>
      </c>
      <c r="G34">
        <v>31</v>
      </c>
      <c r="H34">
        <v>15</v>
      </c>
      <c r="I34" s="5" t="e">
        <f>(Graphes[[#This Row],[DS_Solution]]-Graphes[[#This Row],[Opt]])/Graphes[[#This Row],[Opt]]</f>
        <v>#VALUE!</v>
      </c>
      <c r="J34" s="2">
        <v>1.0529975891113199</v>
      </c>
      <c r="K34">
        <v>548</v>
      </c>
      <c r="L34">
        <v>30</v>
      </c>
      <c r="M34" s="2">
        <v>0.95666432380676203</v>
      </c>
      <c r="N34" s="2">
        <v>0</v>
      </c>
      <c r="O34" s="2">
        <v>4.9917697906494097E-3</v>
      </c>
      <c r="P34">
        <v>13</v>
      </c>
      <c r="Q34" s="5" t="e">
        <f>(Graphes[[#This Row],[FC_AC_30_sans_clique_Solution]]-Graphes[[#This Row],[Opt]])/Graphes[[#This Row],[Opt]]</f>
        <v>#VALUE!</v>
      </c>
      <c r="R34" s="2">
        <v>1.0549850463867101</v>
      </c>
      <c r="S34">
        <v>501</v>
      </c>
      <c r="T34">
        <v>0</v>
      </c>
      <c r="U34" s="2">
        <v>0.94205307960510198</v>
      </c>
      <c r="V34" s="2">
        <v>1.6988515853881801E-2</v>
      </c>
      <c r="W34" s="2">
        <v>6.9940090179443299E-3</v>
      </c>
      <c r="X34">
        <v>13</v>
      </c>
      <c r="Y34" s="5" t="e">
        <f>(Graphes[[#This Row],[FC_AC_30_Solution]]-Graphes[[#This Row],[Opt]])/Graphes[[#This Row],[Opt]]</f>
        <v>#VALUE!</v>
      </c>
      <c r="Z34">
        <v>1.2159461975097601</v>
      </c>
      <c r="AA34">
        <v>488</v>
      </c>
      <c r="AB34">
        <v>0</v>
      </c>
      <c r="AC34">
        <v>1.0890133380889799</v>
      </c>
      <c r="AD34">
        <v>3.2978057861328097E-2</v>
      </c>
      <c r="AE34">
        <v>4.99486923217773E-3</v>
      </c>
      <c r="AF34">
        <v>13</v>
      </c>
      <c r="AG34" s="5" t="e">
        <f>(Graphes[[#This Row],[FC_AC_Solution]]-Graphes[[#This Row],[Opt]])/Graphes[[#This Row],[Opt]]</f>
        <v>#VALUE!</v>
      </c>
      <c r="AH34" s="2">
        <v>1.05000495910644</v>
      </c>
      <c r="AI34">
        <v>488</v>
      </c>
      <c r="AJ34">
        <v>0</v>
      </c>
      <c r="AK34" s="2">
        <v>0.87883162498474099</v>
      </c>
      <c r="AL34" s="2">
        <v>7.4847221374511705E-2</v>
      </c>
      <c r="AM34" s="2">
        <v>3.4935474395751901E-3</v>
      </c>
      <c r="AN34">
        <v>15</v>
      </c>
      <c r="AO34" s="5" t="e">
        <f>(Graphes[[#This Row],[FC_Solution]]-Graphes[[#This Row],[Opt]])/Graphes[[#This Row],[Opt]]</f>
        <v>#VALUE!</v>
      </c>
      <c r="AP34" s="2">
        <v>5.41869664192199</v>
      </c>
      <c r="AQ34">
        <v>548</v>
      </c>
      <c r="AR34">
        <v>30</v>
      </c>
      <c r="AS34" s="2">
        <v>5.0179531574249197</v>
      </c>
      <c r="AT34" s="2">
        <v>0</v>
      </c>
      <c r="AU34" s="2">
        <v>1.04753971099853E-2</v>
      </c>
      <c r="AV34" s="7">
        <v>13</v>
      </c>
      <c r="AW34" s="5" t="e">
        <f>(Graphes[[#This Row],[DS_sans_clique_Solution]]-Graphes[Opt])/Graphes[Opt]</f>
        <v>#VALUE!</v>
      </c>
      <c r="AX34" s="2">
        <v>0.80296802520751898</v>
      </c>
      <c r="AY34" s="2">
        <v>501</v>
      </c>
      <c r="AZ34" s="2">
        <v>0</v>
      </c>
      <c r="BA34" s="2">
        <v>0.726110219955444</v>
      </c>
      <c r="BB34" s="2">
        <v>0</v>
      </c>
      <c r="BC34" s="2">
        <v>3.4987926483154201E-3</v>
      </c>
      <c r="BD34" s="5">
        <f>Graphes[[#This Row],[Max clique (lb)]]/Graphes[[#This Row],[Nb var]]</f>
        <v>2.5999999999999999E-2</v>
      </c>
      <c r="BE34" s="2">
        <f>Graphes[[#This Row],[Nb contraintes]]*Graphes[[#This Row],[ub]]*Graphes[[#This Row],[ub]]</f>
        <v>391127</v>
      </c>
    </row>
    <row r="35" spans="1:57" x14ac:dyDescent="0.25">
      <c r="A35" t="s">
        <v>49</v>
      </c>
      <c r="B35">
        <v>31</v>
      </c>
      <c r="C35" s="2">
        <v>31.506600618362398</v>
      </c>
      <c r="D35">
        <v>186</v>
      </c>
      <c r="E35">
        <v>3538</v>
      </c>
      <c r="F35">
        <v>30</v>
      </c>
      <c r="G35">
        <v>160</v>
      </c>
      <c r="H35">
        <v>31</v>
      </c>
      <c r="I35" s="5">
        <f>(Graphes[[#This Row],[DS_Solution]]-Graphes[[#This Row],[Opt]])/Graphes[[#This Row],[Opt]]</f>
        <v>0</v>
      </c>
      <c r="J35" s="2">
        <v>0.69767332077026301</v>
      </c>
      <c r="K35">
        <v>1673</v>
      </c>
      <c r="L35">
        <v>758</v>
      </c>
      <c r="M35" s="2">
        <v>0.53949379920959395</v>
      </c>
      <c r="N35" s="2">
        <v>0</v>
      </c>
      <c r="O35" s="2">
        <v>0.10480904579162501</v>
      </c>
      <c r="P35">
        <v>31</v>
      </c>
      <c r="Q35" s="5">
        <f>(Graphes[[#This Row],[FC_AC_30_sans_clique_Solution]]-Graphes[[#This Row],[Opt]])/Graphes[[#This Row],[Opt]]</f>
        <v>0</v>
      </c>
      <c r="R35" s="2">
        <v>1.4046492576599099</v>
      </c>
      <c r="S35">
        <v>187</v>
      </c>
      <c r="T35">
        <v>0</v>
      </c>
      <c r="U35" s="2">
        <v>0.31710290908813399</v>
      </c>
      <c r="V35" s="2">
        <v>0.88968110084533603</v>
      </c>
      <c r="W35" s="2">
        <v>0.17388105392455999</v>
      </c>
      <c r="X35">
        <v>31</v>
      </c>
      <c r="Y35" s="5">
        <f>(Graphes[[#This Row],[FC_AC_30_Solution]]-Graphes[[#This Row],[Opt]])/Graphes[[#This Row],[Opt]]</f>
        <v>0</v>
      </c>
      <c r="Z35" s="2">
        <v>2.16762375831604</v>
      </c>
      <c r="AA35">
        <v>157</v>
      </c>
      <c r="AB35">
        <v>0</v>
      </c>
      <c r="AC35" s="2">
        <v>0.19912338256835899</v>
      </c>
      <c r="AD35" s="2">
        <v>1.84757852554321</v>
      </c>
      <c r="AE35" s="2">
        <v>0.10693168640136699</v>
      </c>
      <c r="AF35">
        <v>31</v>
      </c>
      <c r="AG35" s="5">
        <f>(Graphes[[#This Row],[FC_AC_Solution]]-Graphes[[#This Row],[Opt]])/Graphes[[#This Row],[Opt]]</f>
        <v>0</v>
      </c>
      <c r="AH35" s="2">
        <v>8.8856062889099103</v>
      </c>
      <c r="AI35">
        <v>157</v>
      </c>
      <c r="AJ35">
        <v>0</v>
      </c>
      <c r="AK35" s="2">
        <v>0.162694692611694</v>
      </c>
      <c r="AL35" s="2">
        <v>8.60713338851928</v>
      </c>
      <c r="AM35" s="2">
        <v>9.7297906875610296E-2</v>
      </c>
      <c r="AN35">
        <v>31</v>
      </c>
      <c r="AO35" s="5">
        <f>(Graphes[[#This Row],[FC_Solution]]-Graphes[[#This Row],[Opt]])/Graphes[[#This Row],[Opt]]</f>
        <v>0</v>
      </c>
      <c r="AP35" s="2">
        <v>0.730610132217407</v>
      </c>
      <c r="AQ35">
        <v>1673</v>
      </c>
      <c r="AR35">
        <v>758</v>
      </c>
      <c r="AS35" s="2">
        <v>0.57290983200073198</v>
      </c>
      <c r="AT35" s="2">
        <v>0</v>
      </c>
      <c r="AU35" s="2">
        <v>0.10279631614685</v>
      </c>
      <c r="AV35" s="7">
        <v>31</v>
      </c>
      <c r="AW35" s="5">
        <f>(Graphes[[#This Row],[DS_sans_clique_Solution]]-Graphes[Opt])/Graphes[Opt]</f>
        <v>0</v>
      </c>
      <c r="AX35" s="2">
        <v>0.42618799209594699</v>
      </c>
      <c r="AY35" s="2">
        <v>187</v>
      </c>
      <c r="AZ35" s="2">
        <v>0</v>
      </c>
      <c r="BA35" s="2">
        <v>0.243540048599243</v>
      </c>
      <c r="BB35" s="2">
        <v>0</v>
      </c>
      <c r="BC35" s="2">
        <v>0.16118860244750899</v>
      </c>
      <c r="BD35" s="5">
        <f>Graphes[[#This Row],[Max clique (lb)]]/Graphes[[#This Row],[Nb var]]</f>
        <v>0.16129032258064516</v>
      </c>
      <c r="BE35" s="7">
        <f>Graphes[[#This Row],[Nb contraintes]]*Graphes[[#This Row],[ub]]*Graphes[[#This Row],[ub]]</f>
        <v>90572800</v>
      </c>
    </row>
    <row r="36" spans="1:57" x14ac:dyDescent="0.25">
      <c r="A36" t="s">
        <v>48</v>
      </c>
      <c r="B36">
        <v>31</v>
      </c>
      <c r="C36" s="2">
        <v>34.107157468795698</v>
      </c>
      <c r="D36">
        <v>185</v>
      </c>
      <c r="E36">
        <v>3511</v>
      </c>
      <c r="F36">
        <v>30</v>
      </c>
      <c r="G36">
        <v>159</v>
      </c>
      <c r="H36">
        <v>31</v>
      </c>
      <c r="I36" s="5">
        <f>(Graphes[[#This Row],[DS_Solution]]-Graphes[[#This Row],[Opt]])/Graphes[[#This Row],[Opt]]</f>
        <v>0</v>
      </c>
      <c r="J36" s="2">
        <v>0.67871212959289495</v>
      </c>
      <c r="K36">
        <v>1672</v>
      </c>
      <c r="L36">
        <v>758</v>
      </c>
      <c r="M36" s="2">
        <v>0.52403163909912098</v>
      </c>
      <c r="N36" s="2">
        <v>0</v>
      </c>
      <c r="O36" s="2">
        <v>0.100797414779663</v>
      </c>
      <c r="P36">
        <v>31</v>
      </c>
      <c r="Q36" s="5">
        <f>(Graphes[[#This Row],[FC_AC_30_sans_clique_Solution]]-Graphes[[#This Row],[Opt]])/Graphes[[#This Row],[Opt]]</f>
        <v>0</v>
      </c>
      <c r="R36" s="2">
        <v>1.40982818603515</v>
      </c>
      <c r="S36">
        <v>186</v>
      </c>
      <c r="T36">
        <v>0</v>
      </c>
      <c r="U36" s="2">
        <v>0.28583765029907199</v>
      </c>
      <c r="V36" s="2">
        <v>0.926857709884643</v>
      </c>
      <c r="W36" s="2">
        <v>0.17215132713317799</v>
      </c>
      <c r="X36">
        <v>31</v>
      </c>
      <c r="Y36" s="5">
        <f>(Graphes[[#This Row],[FC_AC_30_Solution]]-Graphes[[#This Row],[Opt]])/Graphes[[#This Row],[Opt]]</f>
        <v>0</v>
      </c>
      <c r="Z36" s="2">
        <v>2.33088779449462</v>
      </c>
      <c r="AA36">
        <v>156</v>
      </c>
      <c r="AB36">
        <v>0</v>
      </c>
      <c r="AC36" s="2">
        <v>0.19088077545165999</v>
      </c>
      <c r="AD36" s="2">
        <v>2.0308022499084402</v>
      </c>
      <c r="AE36" s="2">
        <v>9.6210002899169894E-2</v>
      </c>
      <c r="AF36">
        <v>31</v>
      </c>
      <c r="AG36" s="5">
        <f>(Graphes[[#This Row],[FC_AC_Solution]]-Graphes[[#This Row],[Opt]])/Graphes[[#This Row],[Opt]]</f>
        <v>0</v>
      </c>
      <c r="AH36" s="2">
        <v>8.8421905040740896</v>
      </c>
      <c r="AI36">
        <v>156</v>
      </c>
      <c r="AJ36">
        <v>0</v>
      </c>
      <c r="AK36" s="2">
        <v>0.165188312530517</v>
      </c>
      <c r="AL36" s="2">
        <v>8.5667116641998202</v>
      </c>
      <c r="AM36" s="2">
        <v>9.4815254211425698E-2</v>
      </c>
      <c r="AN36">
        <v>31</v>
      </c>
      <c r="AO36" s="5">
        <f>(Graphes[[#This Row],[FC_Solution]]-Graphes[[#This Row],[Opt]])/Graphes[[#This Row],[Opt]]</f>
        <v>0</v>
      </c>
      <c r="AP36" s="2">
        <v>0.69617438316345204</v>
      </c>
      <c r="AQ36">
        <v>1672</v>
      </c>
      <c r="AR36">
        <v>758</v>
      </c>
      <c r="AS36" s="2">
        <v>0.53347945213317804</v>
      </c>
      <c r="AT36" s="2">
        <v>0</v>
      </c>
      <c r="AU36" s="2">
        <v>0.104295969009399</v>
      </c>
      <c r="AV36" s="7">
        <v>31</v>
      </c>
      <c r="AW36" s="5">
        <f>(Graphes[[#This Row],[DS_sans_clique_Solution]]-Graphes[Opt])/Graphes[Opt]</f>
        <v>0</v>
      </c>
      <c r="AX36" s="2">
        <v>0.40872168540954501</v>
      </c>
      <c r="AY36" s="2">
        <v>186</v>
      </c>
      <c r="AZ36" s="2">
        <v>0</v>
      </c>
      <c r="BA36" s="2">
        <v>0.22947645187377899</v>
      </c>
      <c r="BB36" s="2">
        <v>0</v>
      </c>
      <c r="BC36" s="2">
        <v>0.15969276428222601</v>
      </c>
      <c r="BD36" s="5">
        <f>Graphes[[#This Row],[Max clique (lb)]]/Graphes[[#This Row],[Nb var]]</f>
        <v>0.16216216216216217</v>
      </c>
      <c r="BE36" s="7">
        <f>Graphes[[#This Row],[Nb contraintes]]*Graphes[[#This Row],[ub]]*Graphes[[#This Row],[ub]]</f>
        <v>88761591</v>
      </c>
    </row>
    <row r="37" spans="1:57" x14ac:dyDescent="0.25">
      <c r="A37" t="s">
        <v>41</v>
      </c>
      <c r="B37">
        <v>73</v>
      </c>
      <c r="C37" s="2">
        <v>33.976905345916698</v>
      </c>
      <c r="D37">
        <v>128</v>
      </c>
      <c r="E37">
        <v>6364</v>
      </c>
      <c r="F37">
        <v>64</v>
      </c>
      <c r="G37">
        <v>107</v>
      </c>
      <c r="H37">
        <v>73</v>
      </c>
      <c r="I37" s="5">
        <f>(Graphes[[#This Row],[DS_Solution]]-Graphes[[#This Row],[Opt]])/Graphes[[#This Row],[Opt]]</f>
        <v>0</v>
      </c>
      <c r="J37" s="2">
        <v>0.72362303733825595</v>
      </c>
      <c r="K37">
        <v>1877</v>
      </c>
      <c r="L37">
        <v>906</v>
      </c>
      <c r="M37" s="2">
        <v>0.41673159599304199</v>
      </c>
      <c r="N37" s="2">
        <v>0</v>
      </c>
      <c r="O37" s="2">
        <v>0.26198291778564398</v>
      </c>
      <c r="P37">
        <v>73</v>
      </c>
      <c r="Q37" s="5">
        <f>(Graphes[[#This Row],[FC_AC_30_sans_clique_Solution]]-Graphes[[#This Row],[Opt]])/Graphes[[#This Row],[Opt]]</f>
        <v>0</v>
      </c>
      <c r="R37" s="2">
        <v>3.8716506958007799</v>
      </c>
      <c r="S37">
        <v>129</v>
      </c>
      <c r="T37">
        <v>0</v>
      </c>
      <c r="U37" s="2">
        <v>8.0950736999511705E-2</v>
      </c>
      <c r="V37" s="2">
        <v>3.5728344917297301</v>
      </c>
      <c r="W37" s="2">
        <v>0.20686912536620999</v>
      </c>
      <c r="X37">
        <v>73</v>
      </c>
      <c r="Y37" s="5">
        <f>(Graphes[[#This Row],[FC_AC_30_Solution]]-Graphes[[#This Row],[Opt]])/Graphes[[#This Row],[Opt]]</f>
        <v>0</v>
      </c>
      <c r="Z37" s="2">
        <v>8.8147783279418892</v>
      </c>
      <c r="AA37">
        <v>65</v>
      </c>
      <c r="AB37">
        <v>0</v>
      </c>
      <c r="AC37" s="2">
        <v>2.69844532012939E-2</v>
      </c>
      <c r="AD37" s="2">
        <v>8.7418234348297101</v>
      </c>
      <c r="AE37" s="2">
        <v>3.9974927902221603E-2</v>
      </c>
      <c r="AF37">
        <v>73</v>
      </c>
      <c r="AG37" s="5">
        <f>(Graphes[[#This Row],[FC_AC_Solution]]-Graphes[[#This Row],[Opt]])/Graphes[[#This Row],[Opt]]</f>
        <v>0</v>
      </c>
      <c r="AH37" s="2">
        <v>12.8525645732879</v>
      </c>
      <c r="AI37">
        <v>65</v>
      </c>
      <c r="AJ37">
        <v>0</v>
      </c>
      <c r="AK37" s="2">
        <v>2.8949975967407199E-2</v>
      </c>
      <c r="AL37" s="2">
        <v>12.766226053237901</v>
      </c>
      <c r="AM37" s="2">
        <v>5.33947944641113E-2</v>
      </c>
      <c r="AN37">
        <v>73</v>
      </c>
      <c r="AO37" s="5">
        <f>(Graphes[[#This Row],[FC_Solution]]-Graphes[[#This Row],[Opt]])/Graphes[[#This Row],[Opt]]</f>
        <v>0</v>
      </c>
      <c r="AP37" s="2">
        <v>0.69168519973754805</v>
      </c>
      <c r="AQ37">
        <v>1877</v>
      </c>
      <c r="AR37">
        <v>906</v>
      </c>
      <c r="AS37" s="2">
        <v>0.39280629158019997</v>
      </c>
      <c r="AT37" s="2">
        <v>0</v>
      </c>
      <c r="AU37" s="2">
        <v>0.25996732711791898</v>
      </c>
      <c r="AV37" s="7">
        <v>73</v>
      </c>
      <c r="AW37" s="5">
        <f>(Graphes[[#This Row],[DS_sans_clique_Solution]]-Graphes[Opt])/Graphes[Opt]</f>
        <v>0</v>
      </c>
      <c r="AX37" s="2">
        <v>0.93472337722778298</v>
      </c>
      <c r="AY37" s="2">
        <v>129</v>
      </c>
      <c r="AZ37" s="2">
        <v>0</v>
      </c>
      <c r="BA37" s="2">
        <v>0.73459744453430098</v>
      </c>
      <c r="BB37" s="2">
        <v>0</v>
      </c>
      <c r="BC37" s="2">
        <v>0.19313549995422299</v>
      </c>
      <c r="BD37" s="5">
        <f>Graphes[[#This Row],[Max clique (lb)]]/Graphes[[#This Row],[Nb var]]</f>
        <v>0.5</v>
      </c>
      <c r="BE37" s="7">
        <f>Graphes[[#This Row],[Nb contraintes]]*Graphes[[#This Row],[ub]]*Graphes[[#This Row],[ub]]</f>
        <v>72861436</v>
      </c>
    </row>
    <row r="38" spans="1:57" x14ac:dyDescent="0.25">
      <c r="A38" t="s">
        <v>38</v>
      </c>
      <c r="B38">
        <v>5</v>
      </c>
      <c r="C38" s="2">
        <v>39.979258537292402</v>
      </c>
      <c r="D38">
        <v>450</v>
      </c>
      <c r="E38">
        <v>5704</v>
      </c>
      <c r="F38">
        <v>5</v>
      </c>
      <c r="G38">
        <v>43</v>
      </c>
      <c r="H38">
        <v>10</v>
      </c>
      <c r="I38" s="5">
        <f>(Graphes[[#This Row],[DS_Solution]]-Graphes[[#This Row],[Opt]])/Graphes[[#This Row],[Opt]]</f>
        <v>1</v>
      </c>
      <c r="J38" s="2">
        <v>0.77751970291137695</v>
      </c>
      <c r="K38">
        <v>500</v>
      </c>
      <c r="L38">
        <v>27</v>
      </c>
      <c r="M38" s="2">
        <v>0.62131524085998502</v>
      </c>
      <c r="N38" s="2">
        <v>0</v>
      </c>
      <c r="O38" s="2">
        <v>7.8344821929931599E-2</v>
      </c>
      <c r="P38">
        <v>10</v>
      </c>
      <c r="Q38" s="5">
        <f>(Graphes[[#This Row],[FC_AC_30_sans_clique_Solution]]-Graphes[[#This Row],[Opt]])/Graphes[[#This Row],[Opt]]</f>
        <v>1</v>
      </c>
      <c r="R38" s="2">
        <v>1.52983450889587</v>
      </c>
      <c r="S38">
        <v>451</v>
      </c>
      <c r="T38">
        <v>0</v>
      </c>
      <c r="U38" s="2">
        <v>0.91797375679016102</v>
      </c>
      <c r="V38" s="2">
        <v>0.45594882965087802</v>
      </c>
      <c r="W38" s="2">
        <v>8.1960916519164997E-2</v>
      </c>
      <c r="X38">
        <v>10</v>
      </c>
      <c r="Y38" s="5">
        <f>(Graphes[[#This Row],[FC_AC_30_Solution]]-Graphes[[#This Row],[Opt]])/Graphes[[#This Row],[Opt]]</f>
        <v>1</v>
      </c>
      <c r="Z38" s="2">
        <v>1.3108167648315401</v>
      </c>
      <c r="AA38">
        <v>446</v>
      </c>
      <c r="AB38">
        <v>0</v>
      </c>
      <c r="AC38" s="2">
        <v>0.635842084884643</v>
      </c>
      <c r="AD38" s="2">
        <v>0.53086304664611805</v>
      </c>
      <c r="AE38" s="2">
        <v>6.6148042678832994E-2</v>
      </c>
      <c r="AF38">
        <v>10</v>
      </c>
      <c r="AG38" s="5">
        <f>(Graphes[[#This Row],[FC_AC_Solution]]-Graphes[[#This Row],[Opt]])/Graphes[[#This Row],[Opt]]</f>
        <v>1</v>
      </c>
      <c r="AH38" s="2">
        <v>2.9673588275909402</v>
      </c>
      <c r="AI38">
        <v>446</v>
      </c>
      <c r="AJ38">
        <v>0</v>
      </c>
      <c r="AK38" s="2">
        <v>0.53054618835449197</v>
      </c>
      <c r="AL38" s="2">
        <v>2.2875993251800502</v>
      </c>
      <c r="AM38" s="2">
        <v>5.6891441345214802E-2</v>
      </c>
      <c r="AN38">
        <v>10</v>
      </c>
      <c r="AO38" s="5">
        <f>(Graphes[[#This Row],[FC_Solution]]-Graphes[[#This Row],[Opt]])/Graphes[[#This Row],[Opt]]</f>
        <v>1</v>
      </c>
      <c r="AP38" s="2">
        <v>0.63030147552490201</v>
      </c>
      <c r="AQ38">
        <v>500</v>
      </c>
      <c r="AR38">
        <v>27</v>
      </c>
      <c r="AS38" s="2">
        <v>0.49205088615417403</v>
      </c>
      <c r="AT38" s="2">
        <v>0</v>
      </c>
      <c r="AU38" s="2">
        <v>6.8877458572387695E-2</v>
      </c>
      <c r="AV38" s="7">
        <v>10</v>
      </c>
      <c r="AW38" s="5">
        <f>(Graphes[[#This Row],[DS_sans_clique_Solution]]-Graphes[Opt])/Graphes[Opt]</f>
        <v>1</v>
      </c>
      <c r="AX38" s="2">
        <v>0.86635136604309004</v>
      </c>
      <c r="AY38" s="2">
        <v>451</v>
      </c>
      <c r="AZ38" s="2">
        <v>0</v>
      </c>
      <c r="BA38" s="2">
        <v>0.72359299659729004</v>
      </c>
      <c r="BB38" s="2">
        <v>0</v>
      </c>
      <c r="BC38" s="2">
        <v>6.7394018173217704E-2</v>
      </c>
      <c r="BD38" s="5">
        <f>Graphes[[#This Row],[Max clique (lb)]]/Graphes[[#This Row],[Nb var]]</f>
        <v>1.1111111111111112E-2</v>
      </c>
      <c r="BE38" s="7">
        <f>Graphes[[#This Row],[Nb contraintes]]*Graphes[[#This Row],[ub]]*Graphes[[#This Row],[ub]]</f>
        <v>10546696</v>
      </c>
    </row>
    <row r="39" spans="1:57" x14ac:dyDescent="0.25">
      <c r="A39" t="s">
        <v>59</v>
      </c>
      <c r="B39">
        <v>13</v>
      </c>
      <c r="C39" s="2">
        <v>11.7836983203887</v>
      </c>
      <c r="D39">
        <v>169</v>
      </c>
      <c r="E39">
        <v>6500</v>
      </c>
      <c r="F39">
        <v>13</v>
      </c>
      <c r="G39">
        <v>49</v>
      </c>
      <c r="H39">
        <v>21</v>
      </c>
      <c r="I39" s="5">
        <f>(Graphes[[#This Row],[DS_Solution]]-Graphes[[#This Row],[Opt]])/Graphes[[#This Row],[Opt]]</f>
        <v>0.61538461538461542</v>
      </c>
      <c r="J39" s="2">
        <v>0.42073869705200101</v>
      </c>
      <c r="K39">
        <v>265</v>
      </c>
      <c r="L39">
        <v>54</v>
      </c>
      <c r="M39" s="2">
        <v>0.32280468940734802</v>
      </c>
      <c r="N39" s="2">
        <v>0</v>
      </c>
      <c r="O39" s="2">
        <v>8.1944704055786105E-2</v>
      </c>
      <c r="P39">
        <v>17</v>
      </c>
      <c r="Q39" s="5">
        <f>(Graphes[[#This Row],[FC_AC_30_sans_clique_Solution]]-Graphes[[#This Row],[Opt]])/Graphes[[#This Row],[Opt]]</f>
        <v>0.30769230769230771</v>
      </c>
      <c r="R39" s="2">
        <v>0.88596725463867099</v>
      </c>
      <c r="S39">
        <v>170</v>
      </c>
      <c r="T39">
        <v>0</v>
      </c>
      <c r="U39" s="2">
        <v>9.1949939727783203E-2</v>
      </c>
      <c r="V39" s="2">
        <v>0.70607209205627397</v>
      </c>
      <c r="W39" s="2">
        <v>7.3949098587036105E-2</v>
      </c>
      <c r="X39">
        <v>17</v>
      </c>
      <c r="Y39" s="5">
        <f>(Graphes[[#This Row],[FC_AC_30_Solution]]-Graphes[[#This Row],[Opt]])/Graphes[[#This Row],[Opt]]</f>
        <v>0.30769230769230771</v>
      </c>
      <c r="Z39" s="2">
        <v>1.3859548568725499</v>
      </c>
      <c r="AA39">
        <v>157</v>
      </c>
      <c r="AB39">
        <v>0</v>
      </c>
      <c r="AC39" s="2">
        <v>7.7218532562255804E-2</v>
      </c>
      <c r="AD39" s="2">
        <v>1.2477731704711901</v>
      </c>
      <c r="AE39" s="2">
        <v>4.8969507217407199E-2</v>
      </c>
      <c r="AF39">
        <v>17</v>
      </c>
      <c r="AG39" s="5">
        <f>(Graphes[[#This Row],[FC_AC_Solution]]-Graphes[[#This Row],[Opt]])/Graphes[[#This Row],[Opt]]</f>
        <v>0.30769230769230771</v>
      </c>
      <c r="AH39" s="2">
        <v>7.1615617275238002</v>
      </c>
      <c r="AI39">
        <v>157</v>
      </c>
      <c r="AJ39">
        <v>0</v>
      </c>
      <c r="AK39" s="2">
        <v>0.106941938400268</v>
      </c>
      <c r="AL39" s="2">
        <v>6.9276857376098597</v>
      </c>
      <c r="AM39" s="2">
        <v>9.5952272415161105E-2</v>
      </c>
      <c r="AN39">
        <v>21</v>
      </c>
      <c r="AO39" s="5">
        <f>(Graphes[[#This Row],[FC_Solution]]-Graphes[[#This Row],[Opt]])/Graphes[[#This Row],[Opt]]</f>
        <v>0.61538461538461542</v>
      </c>
      <c r="AP39" s="2">
        <v>0.30281162261962802</v>
      </c>
      <c r="AQ39">
        <v>265</v>
      </c>
      <c r="AR39">
        <v>54</v>
      </c>
      <c r="AS39" s="2">
        <v>0.22385549545288</v>
      </c>
      <c r="AT39" s="2">
        <v>0</v>
      </c>
      <c r="AU39" s="2">
        <v>6.6963195800781194E-2</v>
      </c>
      <c r="AV39" s="7">
        <v>17</v>
      </c>
      <c r="AW39" s="5">
        <f>(Graphes[[#This Row],[DS_sans_clique_Solution]]-Graphes[Opt])/Graphes[Opt]</f>
        <v>0.30769230769230771</v>
      </c>
      <c r="AX39" s="2">
        <v>0.15420436859130801</v>
      </c>
      <c r="AY39" s="2">
        <v>170</v>
      </c>
      <c r="AZ39" s="2">
        <v>0</v>
      </c>
      <c r="BA39" s="2">
        <v>6.8370342254638602E-2</v>
      </c>
      <c r="BB39" s="2">
        <v>0</v>
      </c>
      <c r="BC39" s="2">
        <v>7.18579292297363E-2</v>
      </c>
      <c r="BD39" s="5">
        <f>Graphes[[#This Row],[Max clique (lb)]]/Graphes[[#This Row],[Nb var]]</f>
        <v>7.6923076923076927E-2</v>
      </c>
      <c r="BE39" s="7">
        <f>Graphes[[#This Row],[Nb contraintes]]*Graphes[[#This Row],[ub]]*Graphes[[#This Row],[ub]]</f>
        <v>15606500</v>
      </c>
    </row>
    <row r="40" spans="1:57" x14ac:dyDescent="0.25">
      <c r="A40" t="s">
        <v>25</v>
      </c>
      <c r="B40" t="s">
        <v>16</v>
      </c>
      <c r="C40" s="2">
        <v>0.503043413162231</v>
      </c>
      <c r="D40">
        <v>250</v>
      </c>
      <c r="E40">
        <v>876</v>
      </c>
      <c r="F40">
        <v>7</v>
      </c>
      <c r="G40">
        <v>39</v>
      </c>
      <c r="H40">
        <v>14</v>
      </c>
      <c r="I40" s="5" t="e">
        <f>(Graphes[[#This Row],[DS_Solution]]-Graphes[[#This Row],[Opt]])/Graphes[[#This Row],[Opt]]</f>
        <v>#VALUE!</v>
      </c>
      <c r="J40" s="2">
        <v>0.181155204772949</v>
      </c>
      <c r="K40">
        <v>290</v>
      </c>
      <c r="L40">
        <v>23</v>
      </c>
      <c r="M40" s="2">
        <v>0.14672970771789501</v>
      </c>
      <c r="N40" s="2">
        <v>0</v>
      </c>
      <c r="O40" s="2">
        <v>8.9814662933349592E-3</v>
      </c>
      <c r="P40">
        <v>13</v>
      </c>
      <c r="Q40" s="5" t="e">
        <f>(Graphes[[#This Row],[FC_AC_30_sans_clique_Solution]]-Graphes[[#This Row],[Opt]])/Graphes[[#This Row],[Opt]]</f>
        <v>#VALUE!</v>
      </c>
      <c r="R40">
        <v>0.23685145378112701</v>
      </c>
      <c r="S40">
        <v>251</v>
      </c>
      <c r="T40">
        <v>0</v>
      </c>
      <c r="U40">
        <v>0.154902458190917</v>
      </c>
      <c r="V40">
        <v>5.1968097686767502E-2</v>
      </c>
      <c r="W40">
        <v>7.9965591430663993E-3</v>
      </c>
      <c r="X40">
        <v>14</v>
      </c>
      <c r="Y40" s="5" t="e">
        <f>(Graphes[[#This Row],[FC_AC_30_Solution]]-Graphes[[#This Row],[Opt]])/Graphes[[#This Row],[Opt]]</f>
        <v>#VALUE!</v>
      </c>
      <c r="Z40" s="2">
        <v>0.36877393722534102</v>
      </c>
      <c r="AA40">
        <v>244</v>
      </c>
      <c r="AB40">
        <v>0</v>
      </c>
      <c r="AC40" s="2">
        <v>0.179893493652343</v>
      </c>
      <c r="AD40" s="2">
        <v>0.15890073776245101</v>
      </c>
      <c r="AE40" s="2">
        <v>5.9959888458251901E-3</v>
      </c>
      <c r="AF40">
        <v>14</v>
      </c>
      <c r="AG40" s="5" t="e">
        <f>(Graphes[[#This Row],[FC_AC_Solution]]-Graphes[[#This Row],[Opt]])/Graphes[[#This Row],[Opt]]</f>
        <v>#VALUE!</v>
      </c>
      <c r="AH40" s="2">
        <v>2.5835888385772701</v>
      </c>
      <c r="AI40">
        <v>244</v>
      </c>
      <c r="AJ40">
        <v>0</v>
      </c>
      <c r="AK40" s="2">
        <v>1.26610898971557</v>
      </c>
      <c r="AL40" s="2">
        <v>1.1363353729248</v>
      </c>
      <c r="AM40" s="2">
        <v>4.3918848037719699E-2</v>
      </c>
      <c r="AN40">
        <v>14</v>
      </c>
      <c r="AO40" s="5" t="e">
        <f>(Graphes[[#This Row],[FC_Solution]]-Graphes[[#This Row],[Opt]])/Graphes[[#This Row],[Opt]]</f>
        <v>#VALUE!</v>
      </c>
      <c r="AP40" s="2">
        <v>0.25451850891113198</v>
      </c>
      <c r="AQ40">
        <v>290</v>
      </c>
      <c r="AR40">
        <v>23</v>
      </c>
      <c r="AS40" s="2">
        <v>0.21558403968810999</v>
      </c>
      <c r="AT40" s="2">
        <v>0</v>
      </c>
      <c r="AU40" s="2">
        <v>1.4477252960205E-2</v>
      </c>
      <c r="AV40" s="7">
        <v>13</v>
      </c>
      <c r="AW40" s="5" t="e">
        <f>(Graphes[[#This Row],[DS_sans_clique_Solution]]-Graphes[Opt])/Graphes[Opt]</f>
        <v>#VALUE!</v>
      </c>
      <c r="AX40" s="2">
        <v>0.25650954246520902</v>
      </c>
      <c r="AY40" s="2">
        <v>251</v>
      </c>
      <c r="AZ40" s="2">
        <v>0</v>
      </c>
      <c r="BA40" s="2">
        <v>0.219587087631225</v>
      </c>
      <c r="BB40" s="2">
        <v>0</v>
      </c>
      <c r="BC40" s="2">
        <v>8.9828968048095703E-3</v>
      </c>
      <c r="BD40" s="5">
        <f>Graphes[[#This Row],[Max clique (lb)]]/Graphes[[#This Row],[Nb var]]</f>
        <v>2.8000000000000001E-2</v>
      </c>
      <c r="BE40" s="2">
        <f>Graphes[[#This Row],[Nb contraintes]]*Graphes[[#This Row],[ub]]*Graphes[[#This Row],[ub]]</f>
        <v>1332396</v>
      </c>
    </row>
    <row r="41" spans="1:57" x14ac:dyDescent="0.25">
      <c r="A41" t="s">
        <v>26</v>
      </c>
      <c r="B41" t="s">
        <v>16</v>
      </c>
      <c r="C41" s="2">
        <v>15.7340886592864</v>
      </c>
      <c r="D41">
        <v>500</v>
      </c>
      <c r="E41">
        <v>1475</v>
      </c>
      <c r="F41">
        <v>4</v>
      </c>
      <c r="G41">
        <v>31</v>
      </c>
      <c r="H41">
        <v>8</v>
      </c>
      <c r="I41" s="5" t="e">
        <f>(Graphes[[#This Row],[DS_Solution]]-Graphes[[#This Row],[Opt]])/Graphes[[#This Row],[Opt]]</f>
        <v>#VALUE!</v>
      </c>
      <c r="J41" s="2">
        <v>0.62082123756408603</v>
      </c>
      <c r="K41">
        <v>515</v>
      </c>
      <c r="L41">
        <v>9</v>
      </c>
      <c r="M41" s="2">
        <v>0.52201318740844704</v>
      </c>
      <c r="N41" s="2">
        <v>0</v>
      </c>
      <c r="O41" s="2">
        <v>1.5468120574951101E-2</v>
      </c>
      <c r="P41">
        <v>8</v>
      </c>
      <c r="Q41" s="5" t="e">
        <f>(Graphes[[#This Row],[FC_AC_30_sans_clique_Solution]]-Graphes[[#This Row],[Opt]])/Graphes[[#This Row],[Opt]]</f>
        <v>#VALUE!</v>
      </c>
      <c r="R41">
        <v>1.24402499198913</v>
      </c>
      <c r="S41">
        <v>501</v>
      </c>
      <c r="T41">
        <v>0</v>
      </c>
      <c r="U41">
        <v>1.0701277256011901</v>
      </c>
      <c r="V41">
        <v>6.9953918457031194E-2</v>
      </c>
      <c r="W41">
        <v>1.29902362823486E-2</v>
      </c>
      <c r="X41">
        <v>8</v>
      </c>
      <c r="Y41" s="5" t="e">
        <f>(Graphes[[#This Row],[FC_AC_30_Solution]]-Graphes[[#This Row],[Opt]])/Graphes[[#This Row],[Opt]]</f>
        <v>#VALUE!</v>
      </c>
      <c r="Z41" s="2">
        <v>0.89066147804260198</v>
      </c>
      <c r="AA41">
        <v>497</v>
      </c>
      <c r="AB41">
        <v>0</v>
      </c>
      <c r="AC41" s="2">
        <v>0.70765519142150801</v>
      </c>
      <c r="AD41" s="2">
        <v>8.4944963455200195E-2</v>
      </c>
      <c r="AE41" s="2">
        <v>2.1984100341796799E-2</v>
      </c>
      <c r="AF41">
        <v>8</v>
      </c>
      <c r="AG41" s="5" t="e">
        <f>(Graphes[[#This Row],[FC_AC_Solution]]-Graphes[[#This Row],[Opt]])/Graphes[[#This Row],[Opt]]</f>
        <v>#VALUE!</v>
      </c>
      <c r="AH41" s="2">
        <v>1.23565077781677</v>
      </c>
      <c r="AI41">
        <v>497</v>
      </c>
      <c r="AJ41">
        <v>0</v>
      </c>
      <c r="AK41" s="2">
        <v>0.81895160675048795</v>
      </c>
      <c r="AL41" s="2">
        <v>0.32439041137695301</v>
      </c>
      <c r="AM41" s="2">
        <v>1.09763145446777E-2</v>
      </c>
      <c r="AN41">
        <v>8</v>
      </c>
      <c r="AO41" s="5" t="e">
        <f>(Graphes[[#This Row],[FC_Solution]]-Graphes[[#This Row],[Opt]])/Graphes[[#This Row],[Opt]]</f>
        <v>#VALUE!</v>
      </c>
      <c r="AP41" s="2">
        <v>3.2927396297454798</v>
      </c>
      <c r="AQ41">
        <v>515</v>
      </c>
      <c r="AR41">
        <v>9</v>
      </c>
      <c r="AS41" s="2">
        <v>2.9798491001129102</v>
      </c>
      <c r="AT41" s="2">
        <v>0</v>
      </c>
      <c r="AU41" s="2">
        <v>5.3900241851806599E-2</v>
      </c>
      <c r="AV41" s="7">
        <v>8</v>
      </c>
      <c r="AW41" s="5" t="e">
        <f>(Graphes[[#This Row],[DS_sans_clique_Solution]]-Graphes[Opt])/Graphes[Opt]</f>
        <v>#VALUE!</v>
      </c>
      <c r="AX41" s="2">
        <v>0.92424249649047796</v>
      </c>
      <c r="AY41" s="2">
        <v>501</v>
      </c>
      <c r="AZ41" s="2">
        <v>0</v>
      </c>
      <c r="BA41" s="2">
        <v>0.81843137741088801</v>
      </c>
      <c r="BB41" s="2">
        <v>0</v>
      </c>
      <c r="BC41" s="2">
        <v>2.1466970443725499E-2</v>
      </c>
      <c r="BD41" s="5">
        <f>Graphes[[#This Row],[Max clique (lb)]]/Graphes[[#This Row],[Nb var]]</f>
        <v>8.0000000000000002E-3</v>
      </c>
      <c r="BE41" s="2">
        <f>Graphes[[#This Row],[Nb contraintes]]*Graphes[[#This Row],[ub]]*Graphes[[#This Row],[ub]]</f>
        <v>1417475</v>
      </c>
    </row>
    <row r="42" spans="1:57" x14ac:dyDescent="0.25">
      <c r="A42" t="s">
        <v>55</v>
      </c>
      <c r="B42">
        <v>8</v>
      </c>
      <c r="C42" s="2">
        <v>17.472177028655999</v>
      </c>
      <c r="D42">
        <v>191</v>
      </c>
      <c r="E42">
        <v>2359</v>
      </c>
      <c r="F42">
        <v>2</v>
      </c>
      <c r="G42">
        <v>96</v>
      </c>
      <c r="H42">
        <v>8</v>
      </c>
      <c r="I42" s="5">
        <f>(Graphes[[#This Row],[DS_Solution]]-Graphes[[#This Row],[Opt]])/Graphes[[#This Row],[Opt]]</f>
        <v>0</v>
      </c>
      <c r="J42" s="2">
        <v>0.760528564453125</v>
      </c>
      <c r="K42">
        <v>282</v>
      </c>
      <c r="L42">
        <v>46</v>
      </c>
      <c r="M42" s="2">
        <v>0.57163381576537997</v>
      </c>
      <c r="N42" s="2">
        <v>0</v>
      </c>
      <c r="O42" s="2">
        <v>0.13093090057373</v>
      </c>
      <c r="P42">
        <v>8</v>
      </c>
      <c r="Q42" s="5">
        <f>(Graphes[[#This Row],[FC_AC_30_sans_clique_Solution]]-Graphes[[#This Row],[Opt]])/Graphes[[#This Row],[Opt]]</f>
        <v>0</v>
      </c>
      <c r="R42" s="2">
        <v>0.93193054199218694</v>
      </c>
      <c r="S42">
        <v>192</v>
      </c>
      <c r="T42">
        <v>0</v>
      </c>
      <c r="U42" s="2">
        <v>0.54593324661254805</v>
      </c>
      <c r="V42" s="2">
        <v>0.32179856300353998</v>
      </c>
      <c r="W42" s="2">
        <v>4.2103052139282199E-2</v>
      </c>
      <c r="X42">
        <v>8</v>
      </c>
      <c r="Y42" s="5">
        <f>(Graphes[[#This Row],[FC_AC_30_Solution]]-Graphes[[#This Row],[Opt]])/Graphes[[#This Row],[Opt]]</f>
        <v>0</v>
      </c>
      <c r="Z42" s="2">
        <v>0.77278995513916005</v>
      </c>
      <c r="AA42">
        <v>190</v>
      </c>
      <c r="AB42">
        <v>0</v>
      </c>
      <c r="AC42" s="2">
        <v>0.226866960525512</v>
      </c>
      <c r="AD42" s="2">
        <v>0.471704721450805</v>
      </c>
      <c r="AE42" s="2">
        <v>5.3229808807372998E-2</v>
      </c>
      <c r="AF42">
        <v>8</v>
      </c>
      <c r="AG42" s="5">
        <f>(Graphes[[#This Row],[FC_AC_Solution]]-Graphes[[#This Row],[Opt]])/Graphes[[#This Row],[Opt]]</f>
        <v>0</v>
      </c>
      <c r="AH42" s="2">
        <v>3.0621042251586901</v>
      </c>
      <c r="AI42">
        <v>190</v>
      </c>
      <c r="AJ42">
        <v>0</v>
      </c>
      <c r="AK42" s="2">
        <v>0.68359279632568304</v>
      </c>
      <c r="AL42" s="2">
        <v>2.2395932674407901</v>
      </c>
      <c r="AM42" s="2">
        <v>9.8940610885620103E-2</v>
      </c>
      <c r="AN42">
        <v>8</v>
      </c>
      <c r="AO42" s="5">
        <f>(Graphes[[#This Row],[FC_Solution]]-Graphes[[#This Row],[Opt]])/Graphes[[#This Row],[Opt]]</f>
        <v>0</v>
      </c>
      <c r="AP42" s="2">
        <v>0.28482413291931102</v>
      </c>
      <c r="AQ42">
        <v>282</v>
      </c>
      <c r="AR42">
        <v>46</v>
      </c>
      <c r="AS42" s="2">
        <v>0.19688677787780701</v>
      </c>
      <c r="AT42" s="2">
        <v>0</v>
      </c>
      <c r="AU42" s="2">
        <v>6.0953378677368102E-2</v>
      </c>
      <c r="AV42" s="7">
        <v>8</v>
      </c>
      <c r="AW42" s="5">
        <f>(Graphes[[#This Row],[DS_sans_clique_Solution]]-Graphes[Opt])/Graphes[Opt]</f>
        <v>0</v>
      </c>
      <c r="AX42" s="2">
        <v>0.24902677536010701</v>
      </c>
      <c r="AY42" s="2">
        <v>192</v>
      </c>
      <c r="AZ42" s="2">
        <v>0</v>
      </c>
      <c r="BA42" s="2">
        <v>0.16980218887329099</v>
      </c>
      <c r="BB42" s="2">
        <v>0</v>
      </c>
      <c r="BC42" s="2">
        <v>5.8264732360839802E-2</v>
      </c>
      <c r="BD42" s="5">
        <f>Graphes[[#This Row],[Max clique (lb)]]/Graphes[[#This Row],[Nb var]]</f>
        <v>1.0471204188481676E-2</v>
      </c>
      <c r="BE42" s="7">
        <f>Graphes[[#This Row],[Nb contraintes]]*Graphes[[#This Row],[ub]]*Graphes[[#This Row],[ub]]</f>
        <v>21740544</v>
      </c>
    </row>
    <row r="43" spans="1:57" x14ac:dyDescent="0.25">
      <c r="A43" t="s">
        <v>40</v>
      </c>
      <c r="B43">
        <v>42</v>
      </c>
      <c r="C43" s="2">
        <v>20.349316120147702</v>
      </c>
      <c r="D43">
        <v>128</v>
      </c>
      <c r="E43">
        <v>5242</v>
      </c>
      <c r="F43">
        <v>35</v>
      </c>
      <c r="G43">
        <v>87</v>
      </c>
      <c r="H43">
        <v>45</v>
      </c>
      <c r="I43" s="5">
        <f>(Graphes[[#This Row],[DS_Solution]]-Graphes[[#This Row],[Opt]])/Graphes[[#This Row],[Opt]]</f>
        <v>7.1428571428571425E-2</v>
      </c>
      <c r="J43" s="2">
        <v>0.26399564743041898</v>
      </c>
      <c r="K43">
        <v>610</v>
      </c>
      <c r="L43">
        <v>258</v>
      </c>
      <c r="M43" s="2">
        <v>0.151726484298706</v>
      </c>
      <c r="N43" s="2">
        <v>0</v>
      </c>
      <c r="O43" s="2">
        <v>0.104783535003662</v>
      </c>
      <c r="P43">
        <v>42</v>
      </c>
      <c r="Q43" s="5">
        <f>(Graphes[[#This Row],[FC_AC_30_sans_clique_Solution]]-Graphes[[#This Row],[Opt]])/Graphes[[#This Row],[Opt]]</f>
        <v>0</v>
      </c>
      <c r="R43" s="2">
        <v>1.87786316871643</v>
      </c>
      <c r="S43">
        <v>129</v>
      </c>
      <c r="T43">
        <v>0</v>
      </c>
      <c r="U43" s="2">
        <v>8.2955360412597601E-2</v>
      </c>
      <c r="V43" s="2">
        <v>1.646000623703</v>
      </c>
      <c r="W43" s="2">
        <v>0.13491368293762199</v>
      </c>
      <c r="X43">
        <v>42</v>
      </c>
      <c r="Y43" s="5">
        <f>(Graphes[[#This Row],[FC_AC_30_Solution]]-Graphes[[#This Row],[Opt]])/Graphes[[#This Row],[Opt]]</f>
        <v>0</v>
      </c>
      <c r="Z43" s="2">
        <v>5.11012864112854</v>
      </c>
      <c r="AA43">
        <v>94</v>
      </c>
      <c r="AB43">
        <v>0</v>
      </c>
      <c r="AC43" s="2">
        <v>3.6970376968383699E-2</v>
      </c>
      <c r="AD43" s="2">
        <v>5.0021960735321001</v>
      </c>
      <c r="AE43" s="2">
        <v>6.5961599349975503E-2</v>
      </c>
      <c r="AF43">
        <v>42</v>
      </c>
      <c r="AG43" s="5">
        <f>(Graphes[[#This Row],[FC_AC_Solution]]-Graphes[[#This Row],[Opt]])/Graphes[[#This Row],[Opt]]</f>
        <v>0</v>
      </c>
      <c r="AH43" s="2">
        <v>9.6466603279113698</v>
      </c>
      <c r="AI43">
        <v>94</v>
      </c>
      <c r="AJ43">
        <v>0</v>
      </c>
      <c r="AK43" s="2">
        <v>3.7934303283691399E-2</v>
      </c>
      <c r="AL43" s="2">
        <v>9.5478537082672101</v>
      </c>
      <c r="AM43" s="2">
        <v>5.3891181945800698E-2</v>
      </c>
      <c r="AN43">
        <v>45</v>
      </c>
      <c r="AO43" s="5">
        <f>(Graphes[[#This Row],[FC_Solution]]-Graphes[[#This Row],[Opt]])/Graphes[[#This Row],[Opt]]</f>
        <v>7.1428571428571425E-2</v>
      </c>
      <c r="AP43" s="2">
        <v>0.281086444854736</v>
      </c>
      <c r="AQ43">
        <v>610</v>
      </c>
      <c r="AR43">
        <v>258</v>
      </c>
      <c r="AS43" s="2">
        <v>0.155322790145874</v>
      </c>
      <c r="AT43" s="2">
        <v>0</v>
      </c>
      <c r="AU43" s="2">
        <v>0.104800224304199</v>
      </c>
      <c r="AV43" s="7">
        <v>42</v>
      </c>
      <c r="AW43" s="5">
        <f>(Graphes[[#This Row],[DS_sans_clique_Solution]]-Graphes[Opt])/Graphes[Opt]</f>
        <v>0</v>
      </c>
      <c r="AX43" s="2">
        <v>0.16368770599365201</v>
      </c>
      <c r="AY43" s="2">
        <v>129</v>
      </c>
      <c r="AZ43" s="2">
        <v>0</v>
      </c>
      <c r="BA43" s="2">
        <v>6.1895132064819301E-2</v>
      </c>
      <c r="BB43" s="2">
        <v>0</v>
      </c>
      <c r="BC43" s="2">
        <v>9.4307422637939398E-2</v>
      </c>
      <c r="BD43" s="5">
        <f>Graphes[[#This Row],[Max clique (lb)]]/Graphes[[#This Row],[Nb var]]</f>
        <v>0.2734375</v>
      </c>
      <c r="BE43" s="7">
        <f>Graphes[[#This Row],[Nb contraintes]]*Graphes[[#This Row],[ub]]*Graphes[[#This Row],[ub]]</f>
        <v>39676698</v>
      </c>
    </row>
    <row r="44" spans="1:57" x14ac:dyDescent="0.25">
      <c r="A44" t="s">
        <v>17</v>
      </c>
      <c r="B44">
        <v>11</v>
      </c>
      <c r="C44" s="2">
        <v>2.85008192062377</v>
      </c>
      <c r="D44">
        <v>138</v>
      </c>
      <c r="E44">
        <v>896</v>
      </c>
      <c r="F44">
        <v>10</v>
      </c>
      <c r="G44">
        <v>72</v>
      </c>
      <c r="H44">
        <v>11</v>
      </c>
      <c r="I44" s="5">
        <f>(Graphes[[#This Row],[DS_Solution]]-Graphes[[#This Row],[Opt]])/Graphes[[#This Row],[Opt]]</f>
        <v>0</v>
      </c>
      <c r="J44" s="2">
        <v>0.18265151977538999</v>
      </c>
      <c r="K44">
        <v>129</v>
      </c>
      <c r="L44">
        <v>0</v>
      </c>
      <c r="M44" s="2">
        <v>7.7849626541137695E-2</v>
      </c>
      <c r="N44" s="2">
        <v>9.6816539764404297E-2</v>
      </c>
      <c r="O44" s="2">
        <v>3.9925575256347604E-3</v>
      </c>
      <c r="P44">
        <v>11</v>
      </c>
      <c r="Q44" s="5">
        <f>(Graphes[[#This Row],[FC_AC_30_sans_clique_Solution]]-Graphes[[#This Row],[Opt]])/Graphes[[#This Row],[Opt]]</f>
        <v>0</v>
      </c>
      <c r="R44">
        <v>0.17211675643920801</v>
      </c>
      <c r="S44">
        <v>139</v>
      </c>
      <c r="T44">
        <v>0</v>
      </c>
      <c r="U44">
        <v>6.7087173461913993E-2</v>
      </c>
      <c r="V44">
        <v>9.0938806533813393E-2</v>
      </c>
      <c r="W44">
        <v>9.9918842315673793E-3</v>
      </c>
      <c r="X44">
        <v>11</v>
      </c>
      <c r="Y44" s="5">
        <f>(Graphes[[#This Row],[FC_AC_30_Solution]]-Graphes[[#This Row],[Opt]])/Graphes[[#This Row],[Opt]]</f>
        <v>0</v>
      </c>
      <c r="Z44" s="2">
        <v>0.32809686660766602</v>
      </c>
      <c r="AA44">
        <v>129</v>
      </c>
      <c r="AB44">
        <v>0</v>
      </c>
      <c r="AC44" s="2">
        <v>6.2256574630737298E-2</v>
      </c>
      <c r="AD44" s="2">
        <v>0.241847038269042</v>
      </c>
      <c r="AE44" s="2">
        <v>1.6994953155517498E-2</v>
      </c>
      <c r="AF44">
        <v>11</v>
      </c>
      <c r="AG44" s="5">
        <f>(Graphes[[#This Row],[FC_AC_Solution]]-Graphes[[#This Row],[Opt]])/Graphes[[#This Row],[Opt]]</f>
        <v>0</v>
      </c>
      <c r="AH44" s="2">
        <v>0.192133903503417</v>
      </c>
      <c r="AI44">
        <v>129</v>
      </c>
      <c r="AJ44">
        <v>0</v>
      </c>
      <c r="AK44" s="2">
        <v>7.3866844177246094E-2</v>
      </c>
      <c r="AL44" s="2">
        <v>0.104299306869506</v>
      </c>
      <c r="AM44" s="2">
        <v>5.9831142425537101E-3</v>
      </c>
      <c r="AN44">
        <v>11</v>
      </c>
      <c r="AO44" s="5">
        <f>(Graphes[[#This Row],[FC_Solution]]-Graphes[[#This Row],[Opt]])/Graphes[[#This Row],[Opt]]</f>
        <v>0</v>
      </c>
      <c r="AP44" s="2">
        <v>0.19113755226135201</v>
      </c>
      <c r="AQ44">
        <v>129</v>
      </c>
      <c r="AR44">
        <v>0</v>
      </c>
      <c r="AS44" s="2">
        <v>8.2342624664306599E-2</v>
      </c>
      <c r="AT44" s="2">
        <v>9.5320463180541895E-2</v>
      </c>
      <c r="AU44" s="2">
        <v>5.9883594512939401E-3</v>
      </c>
      <c r="AV44" s="7">
        <v>11</v>
      </c>
      <c r="AW44" s="5">
        <f>(Graphes[[#This Row],[DS_sans_clique_Solution]]-Graphes[Opt])/Graphes[Opt]</f>
        <v>0</v>
      </c>
      <c r="AX44" s="2">
        <v>8.7832927703857394E-2</v>
      </c>
      <c r="AY44" s="2">
        <v>139</v>
      </c>
      <c r="AZ44" s="2">
        <v>0</v>
      </c>
      <c r="BA44" s="2">
        <v>6.1387062072753899E-2</v>
      </c>
      <c r="BB44" s="2">
        <v>0</v>
      </c>
      <c r="BC44" s="2">
        <v>1.6468048095703101E-2</v>
      </c>
      <c r="BD44" s="5">
        <f>Graphes[[#This Row],[Max clique (lb)]]/Graphes[[#This Row],[Nb var]]</f>
        <v>7.2463768115942032E-2</v>
      </c>
      <c r="BE44" s="7">
        <f>Graphes[[#This Row],[Nb contraintes]]*Graphes[[#This Row],[ub]]*Graphes[[#This Row],[ub]]</f>
        <v>4644864</v>
      </c>
    </row>
    <row r="45" spans="1:57" x14ac:dyDescent="0.25">
      <c r="A45" t="s">
        <v>18</v>
      </c>
      <c r="B45">
        <v>11</v>
      </c>
      <c r="C45" s="2">
        <v>1.14182949066162</v>
      </c>
      <c r="D45">
        <v>87</v>
      </c>
      <c r="E45">
        <v>722</v>
      </c>
      <c r="F45">
        <v>10</v>
      </c>
      <c r="G45">
        <v>83</v>
      </c>
      <c r="H45">
        <v>11</v>
      </c>
      <c r="I45" s="5">
        <f>(Graphes[[#This Row],[DS_Solution]]-Graphes[[#This Row],[Opt]])/Graphes[[#This Row],[Opt]]</f>
        <v>0</v>
      </c>
      <c r="J45" s="2">
        <v>0.15770053863525299</v>
      </c>
      <c r="K45">
        <v>78</v>
      </c>
      <c r="L45">
        <v>0</v>
      </c>
      <c r="M45" s="2">
        <v>3.9924621582031201E-2</v>
      </c>
      <c r="N45" s="2">
        <v>0.10729551315307601</v>
      </c>
      <c r="O45" s="2">
        <v>4.990816116333E-3</v>
      </c>
      <c r="P45">
        <v>11</v>
      </c>
      <c r="Q45" s="5">
        <f>(Graphes[[#This Row],[FC_AC_30_sans_clique_Solution]]-Graphes[[#This Row],[Opt]])/Graphes[[#This Row],[Opt]]</f>
        <v>0</v>
      </c>
      <c r="R45">
        <v>0.129921674728393</v>
      </c>
      <c r="S45">
        <v>88</v>
      </c>
      <c r="T45">
        <v>0</v>
      </c>
      <c r="U45">
        <v>2.89812088012695E-2</v>
      </c>
      <c r="V45">
        <v>8.4947586059570299E-2</v>
      </c>
      <c r="W45">
        <v>1.3991355895996E-2</v>
      </c>
      <c r="X45">
        <v>11</v>
      </c>
      <c r="Y45" s="5">
        <f>(Graphes[[#This Row],[FC_AC_30_Solution]]-Graphes[[#This Row],[Opt]])/Graphes[[#This Row],[Opt]]</f>
        <v>0</v>
      </c>
      <c r="Z45" s="2">
        <v>0.22409653663635201</v>
      </c>
      <c r="AA45">
        <v>78</v>
      </c>
      <c r="AB45">
        <v>0</v>
      </c>
      <c r="AC45" s="2">
        <v>2.09946632385253E-2</v>
      </c>
      <c r="AD45" s="2">
        <v>0.18911695480346599</v>
      </c>
      <c r="AE45" s="2">
        <v>9.9873542785644497E-3</v>
      </c>
      <c r="AF45">
        <v>11</v>
      </c>
      <c r="AG45" s="5">
        <f>(Graphes[[#This Row],[FC_AC_Solution]]-Graphes[[#This Row],[Opt]])/Graphes[[#This Row],[Opt]]</f>
        <v>0</v>
      </c>
      <c r="AH45" s="2">
        <v>0.193132638931274</v>
      </c>
      <c r="AI45">
        <v>78</v>
      </c>
      <c r="AJ45">
        <v>0</v>
      </c>
      <c r="AK45" s="2">
        <v>5.1903486251830999E-2</v>
      </c>
      <c r="AL45" s="2">
        <v>0.12525963783264099</v>
      </c>
      <c r="AM45" s="2">
        <v>9.4816684722900304E-3</v>
      </c>
      <c r="AN45">
        <v>11</v>
      </c>
      <c r="AO45" s="5">
        <f>(Graphes[[#This Row],[FC_Solution]]-Graphes[[#This Row],[Opt]])/Graphes[[#This Row],[Opt]]</f>
        <v>0</v>
      </c>
      <c r="AP45" s="2">
        <v>0.13973474502563399</v>
      </c>
      <c r="AQ45">
        <v>78</v>
      </c>
      <c r="AR45">
        <v>0</v>
      </c>
      <c r="AS45" s="2">
        <v>3.4932136535644497E-2</v>
      </c>
      <c r="AT45" s="2">
        <v>9.83123779296875E-2</v>
      </c>
      <c r="AU45" s="2">
        <v>3.4964084625244102E-3</v>
      </c>
      <c r="AV45" s="7">
        <v>11</v>
      </c>
      <c r="AW45" s="5">
        <f>(Graphes[[#This Row],[DS_sans_clique_Solution]]-Graphes[Opt])/Graphes[Opt]</f>
        <v>0</v>
      </c>
      <c r="AX45" s="2">
        <v>0.36231064796447698</v>
      </c>
      <c r="AY45" s="2">
        <v>88</v>
      </c>
      <c r="AZ45" s="2">
        <v>0</v>
      </c>
      <c r="BA45" s="2">
        <v>0.14322900772094699</v>
      </c>
      <c r="BB45" s="2">
        <v>0</v>
      </c>
      <c r="BC45" s="2">
        <v>0.19961881637573201</v>
      </c>
      <c r="BD45" s="5">
        <f>Graphes[[#This Row],[Max clique (lb)]]/Graphes[[#This Row],[Nb var]]</f>
        <v>0.11494252873563218</v>
      </c>
      <c r="BE45" s="7">
        <f>Graphes[[#This Row],[Nb contraintes]]*Graphes[[#This Row],[ub]]*Graphes[[#This Row],[ub]]</f>
        <v>4973858</v>
      </c>
    </row>
    <row r="46" spans="1:57" x14ac:dyDescent="0.25">
      <c r="A46" t="s">
        <v>32</v>
      </c>
      <c r="B46">
        <v>11</v>
      </c>
      <c r="C46" s="2">
        <v>4.0997052192687899</v>
      </c>
      <c r="D46">
        <v>74</v>
      </c>
      <c r="E46">
        <v>530</v>
      </c>
      <c r="F46">
        <v>9</v>
      </c>
      <c r="G46">
        <v>54</v>
      </c>
      <c r="H46">
        <v>11</v>
      </c>
      <c r="I46" s="5">
        <f>(Graphes[[#This Row],[DS_Solution]]-Graphes[[#This Row],[Opt]])/Graphes[[#This Row],[Opt]]</f>
        <v>0</v>
      </c>
      <c r="J46" s="2">
        <v>0.32787656784057601</v>
      </c>
      <c r="K46">
        <v>86</v>
      </c>
      <c r="L46">
        <v>10</v>
      </c>
      <c r="M46" s="2">
        <v>0.283462524414062</v>
      </c>
      <c r="N46" s="2">
        <v>0</v>
      </c>
      <c r="O46" s="2">
        <v>3.49316596984863E-2</v>
      </c>
      <c r="P46">
        <v>11</v>
      </c>
      <c r="Q46" s="5">
        <f>(Graphes[[#This Row],[FC_AC_30_sans_clique_Solution]]-Graphes[[#This Row],[Opt]])/Graphes[[#This Row],[Opt]]</f>
        <v>0</v>
      </c>
      <c r="R46" s="2">
        <v>7.5954437255859306E-2</v>
      </c>
      <c r="S46">
        <v>75</v>
      </c>
      <c r="T46">
        <v>0</v>
      </c>
      <c r="U46" s="2">
        <v>2.59857177734375E-2</v>
      </c>
      <c r="V46" s="2">
        <v>4.2972087860107401E-2</v>
      </c>
      <c r="W46" s="2">
        <v>4.9970149993896398E-3</v>
      </c>
      <c r="X46">
        <v>11</v>
      </c>
      <c r="Y46" s="5">
        <f>(Graphes[[#This Row],[FC_AC_30_Solution]]-Graphes[[#This Row],[Opt]])/Graphes[[#This Row],[Opt]]</f>
        <v>0</v>
      </c>
      <c r="Z46" s="2">
        <v>9.3941211700439398E-2</v>
      </c>
      <c r="AA46">
        <v>66</v>
      </c>
      <c r="AB46">
        <v>0</v>
      </c>
      <c r="AC46" s="2">
        <v>2.1987199783325102E-2</v>
      </c>
      <c r="AD46" s="2">
        <v>6.3958883285522405E-2</v>
      </c>
      <c r="AE46" s="2">
        <v>5.9964656829833898E-3</v>
      </c>
      <c r="AF46">
        <v>11</v>
      </c>
      <c r="AG46" s="5">
        <f>(Graphes[[#This Row],[FC_AC_Solution]]-Graphes[[#This Row],[Opt]])/Graphes[[#This Row],[Opt]]</f>
        <v>0</v>
      </c>
      <c r="AH46" s="2">
        <v>1.67281937599182</v>
      </c>
      <c r="AI46">
        <v>66</v>
      </c>
      <c r="AJ46">
        <v>0</v>
      </c>
      <c r="AK46" s="2">
        <v>7.4362754821777302E-2</v>
      </c>
      <c r="AL46" s="2">
        <v>1.4881670475006099</v>
      </c>
      <c r="AM46" s="2">
        <v>9.83145236968994E-2</v>
      </c>
      <c r="AN46">
        <v>11</v>
      </c>
      <c r="AO46" s="5">
        <f>(Graphes[[#This Row],[FC_Solution]]-Graphes[[#This Row],[Opt]])/Graphes[[#This Row],[Opt]]</f>
        <v>0</v>
      </c>
      <c r="AP46" s="2">
        <v>0.12027168273925699</v>
      </c>
      <c r="AQ46">
        <v>86</v>
      </c>
      <c r="AR46">
        <v>10</v>
      </c>
      <c r="AS46" s="2">
        <v>7.13653564453125E-2</v>
      </c>
      <c r="AT46" s="2">
        <v>0</v>
      </c>
      <c r="AU46" s="2">
        <v>3.5430431365966797E-2</v>
      </c>
      <c r="AV46" s="7">
        <v>11</v>
      </c>
      <c r="AW46" s="5">
        <f>(Graphes[[#This Row],[DS_sans_clique_Solution]]-Graphes[Opt])/Graphes[Opt]</f>
        <v>0</v>
      </c>
      <c r="AX46" s="2">
        <v>2.54507064819335E-2</v>
      </c>
      <c r="AY46" s="2">
        <v>75</v>
      </c>
      <c r="AZ46" s="2">
        <v>0</v>
      </c>
      <c r="BA46" s="2">
        <v>1.4471769332885701E-2</v>
      </c>
      <c r="BB46" s="2">
        <v>0</v>
      </c>
      <c r="BC46" s="2">
        <v>7.9865455627441406E-3</v>
      </c>
      <c r="BD46" s="5">
        <f>Graphes[[#This Row],[Max clique (lb)]]/Graphes[[#This Row],[Nb var]]</f>
        <v>0.12162162162162163</v>
      </c>
      <c r="BE46" s="7">
        <f>Graphes[[#This Row],[Nb contraintes]]*Graphes[[#This Row],[ub]]*Graphes[[#This Row],[ub]]</f>
        <v>1545480</v>
      </c>
    </row>
    <row r="47" spans="1:57" x14ac:dyDescent="0.25">
      <c r="A47" t="s">
        <v>54</v>
      </c>
      <c r="B47">
        <v>7</v>
      </c>
      <c r="C47" s="2">
        <v>2.1936399936675999</v>
      </c>
      <c r="D47">
        <v>95</v>
      </c>
      <c r="E47">
        <v>754</v>
      </c>
      <c r="F47">
        <v>2</v>
      </c>
      <c r="G47">
        <v>48</v>
      </c>
      <c r="H47">
        <v>7</v>
      </c>
      <c r="I47" s="5">
        <f>(Graphes[[#This Row],[DS_Solution]]-Graphes[[#This Row],[Opt]])/Graphes[[#This Row],[Opt]]</f>
        <v>0</v>
      </c>
      <c r="J47" s="2">
        <v>8.5945844650268499E-2</v>
      </c>
      <c r="K47">
        <v>140</v>
      </c>
      <c r="L47">
        <v>23</v>
      </c>
      <c r="M47" s="2">
        <v>6.59527778625488E-2</v>
      </c>
      <c r="N47" s="2">
        <v>0</v>
      </c>
      <c r="O47" s="2">
        <v>1.3993740081787101E-2</v>
      </c>
      <c r="P47">
        <v>7</v>
      </c>
      <c r="Q47" s="5">
        <f>(Graphes[[#This Row],[FC_AC_30_sans_clique_Solution]]-Graphes[[#This Row],[Opt]])/Graphes[[#This Row],[Opt]]</f>
        <v>0</v>
      </c>
      <c r="R47" s="2">
        <v>8.69467258453369E-2</v>
      </c>
      <c r="S47">
        <v>96</v>
      </c>
      <c r="T47">
        <v>0</v>
      </c>
      <c r="U47" s="2">
        <v>2.69844532012939E-2</v>
      </c>
      <c r="V47" s="2">
        <v>4.69708442687988E-2</v>
      </c>
      <c r="W47" s="2">
        <v>1.0992765426635701E-2</v>
      </c>
      <c r="X47">
        <v>7</v>
      </c>
      <c r="Y47" s="5">
        <f>(Graphes[[#This Row],[FC_AC_30_Solution]]-Graphes[[#This Row],[Opt]])/Graphes[[#This Row],[Opt]]</f>
        <v>0</v>
      </c>
      <c r="Z47" s="2">
        <v>0.12092542648315401</v>
      </c>
      <c r="AA47">
        <v>94</v>
      </c>
      <c r="AB47">
        <v>0</v>
      </c>
      <c r="AC47" s="2">
        <v>3.59776020050048E-2</v>
      </c>
      <c r="AD47" s="2">
        <v>7.2955131530761705E-2</v>
      </c>
      <c r="AE47" s="2">
        <v>1.09918117523193E-2</v>
      </c>
      <c r="AF47">
        <v>7</v>
      </c>
      <c r="AG47" s="5">
        <f>(Graphes[[#This Row],[FC_AC_Solution]]-Graphes[[#This Row],[Opt]])/Graphes[[#This Row],[Opt]]</f>
        <v>0</v>
      </c>
      <c r="AH47" s="2">
        <v>0.33379125595092701</v>
      </c>
      <c r="AI47">
        <v>94</v>
      </c>
      <c r="AJ47">
        <v>0</v>
      </c>
      <c r="AK47" s="2">
        <v>5.5969715118408203E-2</v>
      </c>
      <c r="AL47" s="2">
        <v>0.25383472442626898</v>
      </c>
      <c r="AM47" s="2">
        <v>1.59902572631835E-2</v>
      </c>
      <c r="AN47">
        <v>7</v>
      </c>
      <c r="AO47" s="5">
        <f>(Graphes[[#This Row],[FC_Solution]]-Graphes[[#This Row],[Opt]])/Graphes[[#This Row],[Opt]]</f>
        <v>0</v>
      </c>
      <c r="AP47" s="2">
        <v>9.7941637039184501E-2</v>
      </c>
      <c r="AQ47">
        <v>140</v>
      </c>
      <c r="AR47">
        <v>23</v>
      </c>
      <c r="AS47" s="2">
        <v>8.6949586868286105E-2</v>
      </c>
      <c r="AT47" s="2">
        <v>0</v>
      </c>
      <c r="AU47" s="2">
        <v>7.9927444458007795E-3</v>
      </c>
      <c r="AV47" s="7">
        <v>7</v>
      </c>
      <c r="AW47" s="5">
        <f>(Graphes[[#This Row],[DS_sans_clique_Solution]]-Graphes[Opt])/Graphes[Opt]</f>
        <v>0</v>
      </c>
      <c r="AX47" s="2">
        <v>3.6930084228515597E-2</v>
      </c>
      <c r="AY47" s="2">
        <v>96</v>
      </c>
      <c r="AZ47" s="2">
        <v>0</v>
      </c>
      <c r="BA47" s="2">
        <v>2.1458625793457E-2</v>
      </c>
      <c r="BB47" s="2">
        <v>0</v>
      </c>
      <c r="BC47" s="2">
        <v>1.1479377746582E-2</v>
      </c>
      <c r="BD47" s="5">
        <f>Graphes[[#This Row],[Max clique (lb)]]/Graphes[[#This Row],[Nb var]]</f>
        <v>2.1052631578947368E-2</v>
      </c>
      <c r="BE47" s="7">
        <f>Graphes[[#This Row],[Nb contraintes]]*Graphes[[#This Row],[ub]]*Graphes[[#This Row],[ub]]</f>
        <v>1737216</v>
      </c>
    </row>
    <row r="48" spans="1:57" x14ac:dyDescent="0.25">
      <c r="A48" t="s">
        <v>57</v>
      </c>
      <c r="B48">
        <v>11</v>
      </c>
      <c r="C48" s="2">
        <v>4.8320076465606601</v>
      </c>
      <c r="D48">
        <v>121</v>
      </c>
      <c r="E48">
        <v>3850</v>
      </c>
      <c r="F48">
        <v>11</v>
      </c>
      <c r="G48">
        <v>41</v>
      </c>
      <c r="H48">
        <v>16</v>
      </c>
      <c r="I48" s="5">
        <f>(Graphes[[#This Row],[DS_Solution]]-Graphes[[#This Row],[Opt]])/Graphes[[#This Row],[Opt]]</f>
        <v>0.45454545454545453</v>
      </c>
      <c r="J48" s="2">
        <v>0.101937770843505</v>
      </c>
      <c r="K48">
        <v>175</v>
      </c>
      <c r="L48">
        <v>32</v>
      </c>
      <c r="M48" s="2">
        <v>4.8975706100463798E-2</v>
      </c>
      <c r="N48" s="2">
        <v>0</v>
      </c>
      <c r="O48" s="2">
        <v>4.2965650558471603E-2</v>
      </c>
      <c r="P48">
        <v>16</v>
      </c>
      <c r="Q48" s="5">
        <f>(Graphes[[#This Row],[FC_AC_30_sans_clique_Solution]]-Graphes[[#This Row],[Opt]])/Graphes[[#This Row],[Opt]]</f>
        <v>0.45454545454545453</v>
      </c>
      <c r="R48" s="2">
        <v>0.34004282951354903</v>
      </c>
      <c r="S48">
        <v>122</v>
      </c>
      <c r="T48">
        <v>0</v>
      </c>
      <c r="U48" s="2">
        <v>3.9231061935424798E-2</v>
      </c>
      <c r="V48" s="2">
        <v>0.25783586502075101</v>
      </c>
      <c r="W48" s="2">
        <v>3.4982919692993102E-2</v>
      </c>
      <c r="X48">
        <v>16</v>
      </c>
      <c r="Y48" s="5">
        <f>(Graphes[[#This Row],[FC_AC_30_Solution]]-Graphes[[#This Row],[Opt]])/Graphes[[#This Row],[Opt]]</f>
        <v>0.45454545454545453</v>
      </c>
      <c r="Z48" s="2">
        <v>0.65478253364562899</v>
      </c>
      <c r="AA48">
        <v>111</v>
      </c>
      <c r="AB48">
        <v>0</v>
      </c>
      <c r="AC48" s="2">
        <v>3.4982442855834898E-2</v>
      </c>
      <c r="AD48" s="2">
        <v>0.57883048057556097</v>
      </c>
      <c r="AE48" s="2">
        <v>3.29763889312744E-2</v>
      </c>
      <c r="AF48">
        <v>16</v>
      </c>
      <c r="AG48" s="5">
        <f>(Graphes[[#This Row],[FC_AC_Solution]]-Graphes[[#This Row],[Opt]])/Graphes[[#This Row],[Opt]]</f>
        <v>0.45454545454545453</v>
      </c>
      <c r="AH48" s="2">
        <v>2.9281845092773402</v>
      </c>
      <c r="AI48">
        <v>111</v>
      </c>
      <c r="AJ48">
        <v>0</v>
      </c>
      <c r="AK48" s="2">
        <v>5.5972337722778299E-2</v>
      </c>
      <c r="AL48" s="2">
        <v>2.8182401657104399</v>
      </c>
      <c r="AM48" s="2">
        <v>4.5974969863891602E-2</v>
      </c>
      <c r="AN48">
        <v>16</v>
      </c>
      <c r="AO48" s="5">
        <f>(Graphes[[#This Row],[FC_Solution]]-Graphes[[#This Row],[Opt]])/Graphes[[#This Row],[Opt]]</f>
        <v>0.45454545454545453</v>
      </c>
      <c r="AP48" s="2">
        <v>9.2943906784057603E-2</v>
      </c>
      <c r="AQ48">
        <v>175</v>
      </c>
      <c r="AR48">
        <v>32</v>
      </c>
      <c r="AS48" s="2">
        <v>4.6973228454589802E-2</v>
      </c>
      <c r="AT48" s="2">
        <v>0</v>
      </c>
      <c r="AU48" s="2">
        <v>3.69772911071777E-2</v>
      </c>
      <c r="AV48" s="7">
        <v>16</v>
      </c>
      <c r="AW48" s="5">
        <f>(Graphes[[#This Row],[DS_sans_clique_Solution]]-Graphes[Opt])/Graphes[Opt]</f>
        <v>0.45454545454545453</v>
      </c>
      <c r="AX48" s="2">
        <v>6.9365978240966797E-2</v>
      </c>
      <c r="AY48" s="2">
        <v>122</v>
      </c>
      <c r="AZ48" s="2">
        <v>0</v>
      </c>
      <c r="BA48" s="2">
        <v>3.3934354782104402E-2</v>
      </c>
      <c r="BB48" s="2">
        <v>0</v>
      </c>
      <c r="BC48" s="2">
        <v>3.14373970031738E-2</v>
      </c>
      <c r="BD48" s="5">
        <f>Graphes[[#This Row],[Max clique (lb)]]/Graphes[[#This Row],[Nb var]]</f>
        <v>9.0909090909090912E-2</v>
      </c>
      <c r="BE48" s="7">
        <f>Graphes[[#This Row],[Nb contraintes]]*Graphes[[#This Row],[ub]]*Graphes[[#This Row],[ub]]</f>
        <v>6471850</v>
      </c>
    </row>
    <row r="49" spans="1:57" x14ac:dyDescent="0.25">
      <c r="A49" t="s">
        <v>64</v>
      </c>
      <c r="B49">
        <v>12</v>
      </c>
      <c r="C49" s="2">
        <v>2.6303720474243102</v>
      </c>
      <c r="D49">
        <v>96</v>
      </c>
      <c r="E49">
        <v>2604</v>
      </c>
      <c r="F49">
        <v>12</v>
      </c>
      <c r="G49">
        <v>33</v>
      </c>
      <c r="H49">
        <v>13</v>
      </c>
      <c r="I49" s="5">
        <f>(Graphes[[#This Row],[DS_Solution]]-Graphes[[#This Row],[Opt]])/Graphes[[#This Row],[Opt]]</f>
        <v>8.3333333333333329E-2</v>
      </c>
      <c r="J49" s="2">
        <v>5.1966428756713798E-2</v>
      </c>
      <c r="K49">
        <v>149</v>
      </c>
      <c r="L49">
        <v>32</v>
      </c>
      <c r="M49" s="2">
        <v>2.5982856750488201E-2</v>
      </c>
      <c r="N49" s="2">
        <v>0</v>
      </c>
      <c r="O49" s="2">
        <v>2.0985364913940398E-2</v>
      </c>
      <c r="P49">
        <v>13</v>
      </c>
      <c r="Q49" s="5">
        <f>(Graphes[[#This Row],[FC_AC_30_sans_clique_Solution]]-Graphes[[#This Row],[Opt]])/Graphes[[#This Row],[Opt]]</f>
        <v>8.3333333333333329E-2</v>
      </c>
      <c r="R49" s="2">
        <v>0.22013735771179199</v>
      </c>
      <c r="S49">
        <v>97</v>
      </c>
      <c r="T49">
        <v>0</v>
      </c>
      <c r="U49" s="2">
        <v>1.7990350723266602E-2</v>
      </c>
      <c r="V49" s="2">
        <v>0.17116737365722601</v>
      </c>
      <c r="W49" s="2">
        <v>2.6982307434082E-2</v>
      </c>
      <c r="X49">
        <v>13</v>
      </c>
      <c r="Y49" s="5">
        <f>(Graphes[[#This Row],[FC_AC_30_Solution]]-Graphes[[#This Row],[Opt]])/Graphes[[#This Row],[Opt]]</f>
        <v>8.3333333333333329E-2</v>
      </c>
      <c r="Z49" s="2">
        <v>0.36477184295654203</v>
      </c>
      <c r="AA49">
        <v>85</v>
      </c>
      <c r="AB49">
        <v>0</v>
      </c>
      <c r="AC49" s="2">
        <v>1.6989231109619099E-2</v>
      </c>
      <c r="AD49" s="2">
        <v>0.32179999351501398</v>
      </c>
      <c r="AE49" s="2">
        <v>1.9986629486083901E-2</v>
      </c>
      <c r="AF49">
        <v>13</v>
      </c>
      <c r="AG49" s="5">
        <f>(Graphes[[#This Row],[FC_AC_Solution]]-Graphes[[#This Row],[Opt]])/Graphes[[#This Row],[Opt]]</f>
        <v>8.3333333333333329E-2</v>
      </c>
      <c r="AH49" s="2">
        <v>3.2309973239898602</v>
      </c>
      <c r="AI49">
        <v>85</v>
      </c>
      <c r="AJ49">
        <v>0</v>
      </c>
      <c r="AK49" s="2">
        <v>3.6979198455810498E-2</v>
      </c>
      <c r="AL49" s="2">
        <v>3.1590337753295898</v>
      </c>
      <c r="AM49" s="2">
        <v>2.89864540100097E-2</v>
      </c>
      <c r="AN49">
        <v>13</v>
      </c>
      <c r="AO49" s="5">
        <f>(Graphes[[#This Row],[FC_Solution]]-Graphes[[#This Row],[Opt]])/Graphes[[#This Row],[Opt]]</f>
        <v>8.3333333333333329E-2</v>
      </c>
      <c r="AP49" s="2">
        <v>4.9968004226684501E-2</v>
      </c>
      <c r="AQ49">
        <v>149</v>
      </c>
      <c r="AR49">
        <v>32</v>
      </c>
      <c r="AS49" s="2">
        <v>2.79815196990966E-2</v>
      </c>
      <c r="AT49" s="2">
        <v>0</v>
      </c>
      <c r="AU49" s="2">
        <v>1.7989873886108398E-2</v>
      </c>
      <c r="AV49" s="7">
        <v>13</v>
      </c>
      <c r="AW49" s="5">
        <f>(Graphes[[#This Row],[DS_sans_clique_Solution]]-Graphes[Opt])/Graphes[Opt]</f>
        <v>8.3333333333333329E-2</v>
      </c>
      <c r="AX49" s="2">
        <v>4.1922092437744099E-2</v>
      </c>
      <c r="AY49" s="2">
        <v>97</v>
      </c>
      <c r="AZ49" s="2">
        <v>0</v>
      </c>
      <c r="BA49" s="2">
        <v>1.6217708587646401E-2</v>
      </c>
      <c r="BB49" s="2">
        <v>0</v>
      </c>
      <c r="BC49" s="2">
        <v>2.3957252502441399E-2</v>
      </c>
      <c r="BD49" s="5">
        <f>Graphes[[#This Row],[Max clique (lb)]]/Graphes[[#This Row],[Nb var]]</f>
        <v>0.125</v>
      </c>
      <c r="BE49" s="7">
        <f>Graphes[[#This Row],[Nb contraintes]]*Graphes[[#This Row],[ub]]*Graphes[[#This Row],[ub]]</f>
        <v>2835756</v>
      </c>
    </row>
    <row r="50" spans="1:57" x14ac:dyDescent="0.25">
      <c r="A50" t="s">
        <v>42</v>
      </c>
      <c r="B50">
        <v>8</v>
      </c>
      <c r="C50" s="2">
        <v>5.7830052375793404</v>
      </c>
      <c r="D50">
        <v>128</v>
      </c>
      <c r="E50">
        <v>744</v>
      </c>
      <c r="F50">
        <v>6</v>
      </c>
      <c r="G50">
        <v>17</v>
      </c>
      <c r="H50">
        <v>8</v>
      </c>
      <c r="I50" s="5">
        <f>(Graphes[[#This Row],[DS_Solution]]-Graphes[[#This Row],[Opt]])/Graphes[[#This Row],[Opt]]</f>
        <v>0</v>
      </c>
      <c r="J50" s="2">
        <v>3.7428855895995997E-2</v>
      </c>
      <c r="K50">
        <v>155</v>
      </c>
      <c r="L50">
        <v>16</v>
      </c>
      <c r="M50" s="2">
        <v>2.7945280075073201E-2</v>
      </c>
      <c r="N50" s="2">
        <v>0</v>
      </c>
      <c r="O50" s="2">
        <v>5.48911094665527E-3</v>
      </c>
      <c r="P50">
        <v>8</v>
      </c>
      <c r="Q50" s="5">
        <f>(Graphes[[#This Row],[FC_AC_30_sans_clique_Solution]]-Graphes[[#This Row],[Opt]])/Graphes[[#This Row],[Opt]]</f>
        <v>0</v>
      </c>
      <c r="R50" s="2">
        <v>9.3941211700439398E-2</v>
      </c>
      <c r="S50">
        <v>129</v>
      </c>
      <c r="T50">
        <v>0</v>
      </c>
      <c r="U50" s="2">
        <v>4.4973850250244099E-2</v>
      </c>
      <c r="V50" s="2">
        <v>3.0978679656982401E-2</v>
      </c>
      <c r="W50" s="2">
        <v>8.9962482452392491E-3</v>
      </c>
      <c r="X50">
        <v>8</v>
      </c>
      <c r="Y50" s="5">
        <f>(Graphes[[#This Row],[FC_AC_30_Solution]]-Graphes[[#This Row],[Opt]])/Graphes[[#This Row],[Opt]]</f>
        <v>0</v>
      </c>
      <c r="Z50" s="2">
        <v>6.8957567214965806E-2</v>
      </c>
      <c r="AA50">
        <v>123</v>
      </c>
      <c r="AB50">
        <v>0</v>
      </c>
      <c r="AC50" s="2">
        <v>3.1984329223632799E-2</v>
      </c>
      <c r="AD50" s="2">
        <v>2.39841938018798E-2</v>
      </c>
      <c r="AE50" s="2">
        <v>2.9954910278320299E-3</v>
      </c>
      <c r="AF50">
        <v>8</v>
      </c>
      <c r="AG50" s="5">
        <f>(Graphes[[#This Row],[FC_AC_Solution]]-Graphes[[#This Row],[Opt]])/Graphes[[#This Row],[Opt]]</f>
        <v>0</v>
      </c>
      <c r="AH50" s="2">
        <v>9.3323707580566406E-2</v>
      </c>
      <c r="AI50">
        <v>123</v>
      </c>
      <c r="AJ50">
        <v>0</v>
      </c>
      <c r="AK50" s="2">
        <v>2.24547386169433E-2</v>
      </c>
      <c r="AL50" s="2">
        <v>6.1392307281494099E-2</v>
      </c>
      <c r="AM50" s="2">
        <v>4.9841403961181597E-3</v>
      </c>
      <c r="AN50">
        <v>8</v>
      </c>
      <c r="AO50" s="5">
        <f>(Graphes[[#This Row],[FC_Solution]]-Graphes[[#This Row],[Opt]])/Graphes[[#This Row],[Opt]]</f>
        <v>0</v>
      </c>
      <c r="AP50" s="2">
        <v>3.7928104400634703E-2</v>
      </c>
      <c r="AQ50">
        <v>155</v>
      </c>
      <c r="AR50">
        <v>16</v>
      </c>
      <c r="AS50" s="2">
        <v>2.99446582794189E-2</v>
      </c>
      <c r="AT50" s="2">
        <v>0</v>
      </c>
      <c r="AU50" s="2">
        <v>3.4909248352050699E-3</v>
      </c>
      <c r="AV50" s="7">
        <v>8</v>
      </c>
      <c r="AW50" s="5">
        <f>(Graphes[[#This Row],[DS_sans_clique_Solution]]-Graphes[Opt])/Graphes[Opt]</f>
        <v>0</v>
      </c>
      <c r="AX50" s="2">
        <v>3.5931348800659103E-2</v>
      </c>
      <c r="AY50" s="2">
        <v>129</v>
      </c>
      <c r="AZ50" s="2">
        <v>0</v>
      </c>
      <c r="BA50" s="2">
        <v>2.5449752807617101E-2</v>
      </c>
      <c r="BB50" s="2">
        <v>0</v>
      </c>
      <c r="BC50" s="2">
        <v>3.4947395324707001E-3</v>
      </c>
      <c r="BD50" s="5">
        <f>Graphes[[#This Row],[Max clique (lb)]]/Graphes[[#This Row],[Nb var]]</f>
        <v>4.6875E-2</v>
      </c>
      <c r="BE50" s="7">
        <f>Graphes[[#This Row],[Nb contraintes]]*Graphes[[#This Row],[ub]]*Graphes[[#This Row],[ub]]</f>
        <v>215016</v>
      </c>
    </row>
    <row r="51" spans="1:57" x14ac:dyDescent="0.25">
      <c r="A51" t="s">
        <v>66</v>
      </c>
      <c r="B51">
        <v>10</v>
      </c>
      <c r="C51" s="2">
        <v>3.14005422592163</v>
      </c>
      <c r="D51">
        <v>81</v>
      </c>
      <c r="E51">
        <v>2040</v>
      </c>
      <c r="F51">
        <v>9</v>
      </c>
      <c r="G51">
        <v>33</v>
      </c>
      <c r="H51">
        <v>14</v>
      </c>
      <c r="I51" s="5">
        <f>(Graphes[[#This Row],[DS_Solution]]-Graphes[[#This Row],[Opt]])/Graphes[[#This Row],[Opt]]</f>
        <v>0.4</v>
      </c>
      <c r="J51" s="2">
        <v>3.9975166320800698E-2</v>
      </c>
      <c r="K51">
        <v>113</v>
      </c>
      <c r="L51">
        <v>20</v>
      </c>
      <c r="M51" s="2">
        <v>2.09877490997314E-2</v>
      </c>
      <c r="N51" s="2">
        <v>0</v>
      </c>
      <c r="O51" s="2">
        <v>1.5988349914550701E-2</v>
      </c>
      <c r="P51">
        <v>13</v>
      </c>
      <c r="Q51" s="5">
        <f>(Graphes[[#This Row],[FC_AC_30_sans_clique_Solution]]-Graphes[[#This Row],[Opt]])/Graphes[[#This Row],[Opt]]</f>
        <v>0.3</v>
      </c>
      <c r="R51" s="2">
        <v>0.17489123344421301</v>
      </c>
      <c r="S51">
        <v>82</v>
      </c>
      <c r="T51">
        <v>0</v>
      </c>
      <c r="U51" s="2">
        <v>2.2988080978393499E-2</v>
      </c>
      <c r="V51" s="2">
        <v>0.13191676139831501</v>
      </c>
      <c r="W51" s="2">
        <v>1.6988039016723602E-2</v>
      </c>
      <c r="X51">
        <v>13</v>
      </c>
      <c r="Y51" s="5">
        <f>(Graphes[[#This Row],[FC_AC_30_Solution]]-Graphes[[#This Row],[Opt]])/Graphes[[#This Row],[Opt]]</f>
        <v>0.3</v>
      </c>
      <c r="Z51" s="2">
        <v>0.29881644248962402</v>
      </c>
      <c r="AA51">
        <v>73</v>
      </c>
      <c r="AB51">
        <v>0</v>
      </c>
      <c r="AC51" s="2">
        <v>6.8959951400756794E-2</v>
      </c>
      <c r="AD51" s="2">
        <v>0.21586704254150299</v>
      </c>
      <c r="AE51" s="2">
        <v>1.1988639831542899E-2</v>
      </c>
      <c r="AF51">
        <v>13</v>
      </c>
      <c r="AG51" s="5">
        <f>(Graphes[[#This Row],[FC_AC_Solution]]-Graphes[[#This Row],[Opt]])/Graphes[[#This Row],[Opt]]</f>
        <v>0.3</v>
      </c>
      <c r="AH51" s="2">
        <v>0.71655511856079102</v>
      </c>
      <c r="AI51">
        <v>73</v>
      </c>
      <c r="AJ51">
        <v>0</v>
      </c>
      <c r="AK51" s="2">
        <v>1.4995336532592701E-2</v>
      </c>
      <c r="AL51" s="2">
        <v>0.68556261062622004</v>
      </c>
      <c r="AM51" s="2">
        <v>1.2998342514037999E-2</v>
      </c>
      <c r="AN51">
        <v>14</v>
      </c>
      <c r="AO51" s="5">
        <f>(Graphes[[#This Row],[FC_Solution]]-Graphes[[#This Row],[Opt]])/Graphes[[#This Row],[Opt]]</f>
        <v>0.4</v>
      </c>
      <c r="AP51" s="2">
        <v>3.2979011535644497E-2</v>
      </c>
      <c r="AQ51">
        <v>113</v>
      </c>
      <c r="AR51">
        <v>20</v>
      </c>
      <c r="AS51" s="2">
        <v>1.7992973327636701E-2</v>
      </c>
      <c r="AT51" s="2">
        <v>0</v>
      </c>
      <c r="AU51" s="2">
        <v>1.29878520965576E-2</v>
      </c>
      <c r="AV51" s="7">
        <v>13</v>
      </c>
      <c r="AW51" s="5">
        <f>(Graphes[[#This Row],[DS_sans_clique_Solution]]-Graphes[Opt])/Graphes[Opt]</f>
        <v>0.3</v>
      </c>
      <c r="AX51" s="2">
        <v>3.04434299468994E-2</v>
      </c>
      <c r="AY51" s="2">
        <v>82</v>
      </c>
      <c r="AZ51" s="2">
        <v>0</v>
      </c>
      <c r="BA51" s="2">
        <v>1.39734745025634E-2</v>
      </c>
      <c r="BB51" s="2">
        <v>0</v>
      </c>
      <c r="BC51" s="2">
        <v>1.29776000976562E-2</v>
      </c>
      <c r="BD51" s="5">
        <f>Graphes[[#This Row],[Max clique (lb)]]/Graphes[[#This Row],[Nb var]]</f>
        <v>0.1111111111111111</v>
      </c>
      <c r="BE51" s="7">
        <f>Graphes[[#This Row],[Nb contraintes]]*Graphes[[#This Row],[ub]]*Graphes[[#This Row],[ub]]</f>
        <v>2221560</v>
      </c>
    </row>
    <row r="52" spans="1:57" x14ac:dyDescent="0.25">
      <c r="A52" t="s">
        <v>33</v>
      </c>
      <c r="B52">
        <v>10</v>
      </c>
      <c r="C52" s="2">
        <v>0.50503873825073198</v>
      </c>
      <c r="D52">
        <v>80</v>
      </c>
      <c r="E52">
        <v>418</v>
      </c>
      <c r="F52">
        <v>10</v>
      </c>
      <c r="G52">
        <v>37</v>
      </c>
      <c r="H52">
        <v>11</v>
      </c>
      <c r="I52" s="5">
        <f>(Graphes[[#This Row],[DS_Solution]]-Graphes[[#This Row],[Opt]])/Graphes[[#This Row],[Opt]]</f>
        <v>0.1</v>
      </c>
      <c r="J52" s="2">
        <v>0.10430097579956001</v>
      </c>
      <c r="K52">
        <v>103</v>
      </c>
      <c r="L52">
        <v>16</v>
      </c>
      <c r="M52" s="2">
        <v>8.5838317871093694E-2</v>
      </c>
      <c r="N52" s="2">
        <v>0</v>
      </c>
      <c r="O52" s="2">
        <v>8.9807510375976493E-3</v>
      </c>
      <c r="P52">
        <v>10</v>
      </c>
      <c r="Q52" s="5">
        <f>(Graphes[[#This Row],[FC_AC_30_sans_clique_Solution]]-Graphes[[#This Row],[Opt]])/Graphes[[#This Row],[Opt]]</f>
        <v>0</v>
      </c>
      <c r="R52" s="2">
        <v>4.69686985015869E-2</v>
      </c>
      <c r="S52">
        <v>81</v>
      </c>
      <c r="T52">
        <v>0</v>
      </c>
      <c r="U52" s="2">
        <v>1.79896354675292E-2</v>
      </c>
      <c r="V52" s="2">
        <v>2.39841938018798E-2</v>
      </c>
      <c r="W52" s="2">
        <v>3.9951801300048802E-3</v>
      </c>
      <c r="X52">
        <v>10</v>
      </c>
      <c r="Y52" s="5">
        <f>(Graphes[[#This Row],[FC_AC_30_Solution]]-Graphes[[#This Row],[Opt]])/Graphes[[#This Row],[Opt]]</f>
        <v>0</v>
      </c>
      <c r="Z52" s="2">
        <v>4.9969434738159103E-2</v>
      </c>
      <c r="AA52">
        <v>71</v>
      </c>
      <c r="AB52">
        <v>0</v>
      </c>
      <c r="AC52" s="2">
        <v>1.0994434356689399E-2</v>
      </c>
      <c r="AD52" s="2">
        <v>3.3978223800659103E-2</v>
      </c>
      <c r="AE52" s="2">
        <v>3.9973258972167899E-3</v>
      </c>
      <c r="AF52">
        <v>10</v>
      </c>
      <c r="AG52" s="5">
        <f>(Graphes[[#This Row],[FC_AC_Solution]]-Graphes[[#This Row],[Opt]])/Graphes[[#This Row],[Opt]]</f>
        <v>0</v>
      </c>
      <c r="AH52" s="2">
        <v>0.16219210624694799</v>
      </c>
      <c r="AI52">
        <v>71</v>
      </c>
      <c r="AJ52">
        <v>0</v>
      </c>
      <c r="AK52" s="2">
        <v>2.5954484939575102E-2</v>
      </c>
      <c r="AL52" s="2">
        <v>0.125256538391113</v>
      </c>
      <c r="AM52" s="2">
        <v>5.4903030395507804E-3</v>
      </c>
      <c r="AN52">
        <v>11</v>
      </c>
      <c r="AO52" s="5">
        <f>(Graphes[[#This Row],[FC_Solution]]-Graphes[[#This Row],[Opt]])/Graphes[[#This Row],[Opt]]</f>
        <v>0.1</v>
      </c>
      <c r="AP52" s="2">
        <v>3.2938480377197203E-2</v>
      </c>
      <c r="AQ52">
        <v>103</v>
      </c>
      <c r="AR52">
        <v>16</v>
      </c>
      <c r="AS52" s="2">
        <v>1.84652805328369E-2</v>
      </c>
      <c r="AT52" s="2">
        <v>0</v>
      </c>
      <c r="AU52" s="2">
        <v>8.9817047119140608E-3</v>
      </c>
      <c r="AV52" s="7">
        <v>10</v>
      </c>
      <c r="AW52" s="5">
        <f>(Graphes[[#This Row],[DS_sans_clique_Solution]]-Graphes[Opt])/Graphes[Opt]</f>
        <v>0</v>
      </c>
      <c r="AX52" s="2">
        <v>3.6429882049560498E-2</v>
      </c>
      <c r="AY52" s="2">
        <v>81</v>
      </c>
      <c r="AZ52" s="2">
        <v>0</v>
      </c>
      <c r="BA52" s="2">
        <v>2.7945041656494099E-2</v>
      </c>
      <c r="BB52" s="2">
        <v>0</v>
      </c>
      <c r="BC52" s="2">
        <v>7.9858303070068307E-3</v>
      </c>
      <c r="BD52" s="5">
        <f>Graphes[[#This Row],[Max clique (lb)]]/Graphes[[#This Row],[Nb var]]</f>
        <v>0.125</v>
      </c>
      <c r="BE52" s="7">
        <f>Graphes[[#This Row],[Nb contraintes]]*Graphes[[#This Row],[ub]]*Graphes[[#This Row],[ub]]</f>
        <v>572242</v>
      </c>
    </row>
    <row r="53" spans="1:57" x14ac:dyDescent="0.25">
      <c r="A53" t="s">
        <v>73</v>
      </c>
      <c r="B53" t="s">
        <v>16</v>
      </c>
      <c r="C53" s="2">
        <v>15.261305570602399</v>
      </c>
      <c r="D53">
        <v>225</v>
      </c>
      <c r="E53">
        <v>10150</v>
      </c>
      <c r="F53">
        <v>15</v>
      </c>
      <c r="G53">
        <v>57</v>
      </c>
      <c r="H53">
        <v>20</v>
      </c>
      <c r="I53" s="5" t="e">
        <f>(Graphes[[#This Row],[DS_Solution]]-Graphes[[#This Row],[Opt]])/Graphes[[#This Row],[Opt]]</f>
        <v>#VALUE!</v>
      </c>
      <c r="J53" s="2">
        <v>0.26805567741393999</v>
      </c>
      <c r="K53">
        <v>323</v>
      </c>
      <c r="L53">
        <v>56</v>
      </c>
      <c r="M53" s="2">
        <v>0.14502692222595201</v>
      </c>
      <c r="N53" s="2">
        <v>0</v>
      </c>
      <c r="O53" s="2">
        <v>0.10504102706909101</v>
      </c>
      <c r="P53">
        <v>21</v>
      </c>
      <c r="Q53" s="5" t="e">
        <f>(Graphes[[#This Row],[FC_AC_30_sans_clique_Solution]]-Graphes[[#This Row],[Opt]])/Graphes[[#This Row],[Opt]]</f>
        <v>#VALUE!</v>
      </c>
      <c r="R53" s="2">
        <v>1.7949254512786801</v>
      </c>
      <c r="S53">
        <v>226</v>
      </c>
      <c r="T53">
        <v>0</v>
      </c>
      <c r="U53" s="2">
        <v>0.15017580986022899</v>
      </c>
      <c r="V53" s="2">
        <v>1.5105552673339799</v>
      </c>
      <c r="W53" s="2">
        <v>0.12020134925842201</v>
      </c>
      <c r="X53">
        <v>21</v>
      </c>
      <c r="Y53" s="5" t="e">
        <f>(Graphes[[#This Row],[FC_AC_30_Solution]]-Graphes[[#This Row],[Opt]])/Graphes[[#This Row],[Opt]]</f>
        <v>#VALUE!</v>
      </c>
      <c r="Z53" s="2">
        <v>2.8694314956664999</v>
      </c>
      <c r="AA53">
        <v>211</v>
      </c>
      <c r="AB53">
        <v>0</v>
      </c>
      <c r="AC53" s="2">
        <v>0.131038427352905</v>
      </c>
      <c r="AD53" s="2">
        <v>2.6123490333557098</v>
      </c>
      <c r="AE53" s="2">
        <v>9.9946260452270494E-2</v>
      </c>
      <c r="AF53">
        <v>21</v>
      </c>
      <c r="AG53" s="5" t="e">
        <f>(Graphes[[#This Row],[FC_AC_Solution]]-Graphes[[#This Row],[Opt]])/Graphes[[#This Row],[Opt]]</f>
        <v>#VALUE!</v>
      </c>
      <c r="AH53" s="2">
        <v>8.4226174354553205</v>
      </c>
      <c r="AI53">
        <v>211</v>
      </c>
      <c r="AJ53">
        <v>0</v>
      </c>
      <c r="AK53" s="2">
        <v>0.101938724517822</v>
      </c>
      <c r="AL53" s="2">
        <v>8.1997342109680105</v>
      </c>
      <c r="AM53" s="2">
        <v>0.105950832366943</v>
      </c>
      <c r="AN53">
        <v>20</v>
      </c>
      <c r="AO53" s="5" t="e">
        <f>(Graphes[[#This Row],[FC_Solution]]-Graphes[[#This Row],[Opt]])/Graphes[[#This Row],[Opt]]</f>
        <v>#VALUE!</v>
      </c>
      <c r="AP53" s="2">
        <v>0.27103567123413003</v>
      </c>
      <c r="AQ53">
        <v>323</v>
      </c>
      <c r="AR53">
        <v>56</v>
      </c>
      <c r="AS53" s="2">
        <v>0.149013996124267</v>
      </c>
      <c r="AT53" s="2">
        <v>0</v>
      </c>
      <c r="AU53" s="2">
        <v>9.8032712936401298E-2</v>
      </c>
      <c r="AV53" s="7">
        <v>21</v>
      </c>
      <c r="AW53" s="5" t="e">
        <f>(Graphes[[#This Row],[DS_sans_clique_Solution]]-Graphes[Opt])/Graphes[Opt]</f>
        <v>#VALUE!</v>
      </c>
      <c r="AX53" s="2">
        <v>0.25651192665100098</v>
      </c>
      <c r="AY53" s="2">
        <v>226</v>
      </c>
      <c r="AZ53" s="2">
        <v>0</v>
      </c>
      <c r="BA53" s="2">
        <v>0.12986993789672799</v>
      </c>
      <c r="BB53" s="2">
        <v>0</v>
      </c>
      <c r="BC53" s="2">
        <v>0.112668514251708</v>
      </c>
      <c r="BD53" s="5">
        <f>Graphes[[#This Row],[Max clique (lb)]]/Graphes[[#This Row],[Nb var]]</f>
        <v>6.6666666666666666E-2</v>
      </c>
      <c r="BE53" s="2">
        <f>Graphes[[#This Row],[Nb contraintes]]*Graphes[[#This Row],[ub]]*Graphes[[#This Row],[ub]]</f>
        <v>32977350</v>
      </c>
    </row>
    <row r="54" spans="1:57" x14ac:dyDescent="0.25">
      <c r="A54" t="s">
        <v>30</v>
      </c>
      <c r="B54">
        <v>9</v>
      </c>
      <c r="C54" s="2">
        <v>34.756819248199399</v>
      </c>
      <c r="D54">
        <v>120</v>
      </c>
      <c r="E54">
        <v>1204</v>
      </c>
      <c r="F54">
        <v>9</v>
      </c>
      <c r="G54">
        <v>14</v>
      </c>
      <c r="H54">
        <v>9</v>
      </c>
      <c r="I54" s="5">
        <f>(Graphes[[#This Row],[DS_Solution]]-Graphes[[#This Row],[Opt]])/Graphes[[#This Row],[Opt]]</f>
        <v>0</v>
      </c>
      <c r="J54" s="2">
        <v>3.49347591400146E-2</v>
      </c>
      <c r="K54">
        <v>122</v>
      </c>
      <c r="L54">
        <v>5</v>
      </c>
      <c r="M54" s="2">
        <v>2.5950908660888599E-2</v>
      </c>
      <c r="N54" s="2">
        <v>0</v>
      </c>
      <c r="O54" s="2">
        <v>5.4912567138671797E-3</v>
      </c>
      <c r="P54">
        <v>9</v>
      </c>
      <c r="Q54" s="5">
        <f>(Graphes[[#This Row],[FC_AC_30_sans_clique_Solution]]-Graphes[[#This Row],[Opt]])/Graphes[[#This Row],[Opt]]</f>
        <v>0</v>
      </c>
      <c r="R54" s="2">
        <v>6.6959142684936496E-2</v>
      </c>
      <c r="S54">
        <v>121</v>
      </c>
      <c r="T54">
        <v>0</v>
      </c>
      <c r="U54" s="2">
        <v>2.9983282089233398E-2</v>
      </c>
      <c r="V54" s="2">
        <v>2.7981281280517498E-2</v>
      </c>
      <c r="W54" s="2">
        <v>4.9965381622314401E-3</v>
      </c>
      <c r="X54">
        <v>9</v>
      </c>
      <c r="Y54" s="5">
        <f>(Graphes[[#This Row],[FC_AC_30_Solution]]-Graphes[[#This Row],[Opt]])/Graphes[[#This Row],[Opt]]</f>
        <v>0</v>
      </c>
      <c r="Z54" s="2">
        <v>5.6964874267578097E-2</v>
      </c>
      <c r="AA54">
        <v>112</v>
      </c>
      <c r="AB54">
        <v>0</v>
      </c>
      <c r="AC54" s="2">
        <v>1.49908065795898E-2</v>
      </c>
      <c r="AD54" s="2">
        <v>2.9982566833496E-2</v>
      </c>
      <c r="AE54" s="2">
        <v>7.9929828643798793E-3</v>
      </c>
      <c r="AF54">
        <v>9</v>
      </c>
      <c r="AG54" s="5">
        <f>(Graphes[[#This Row],[FC_AC_Solution]]-Graphes[[#This Row],[Opt]])/Graphes[[#This Row],[Opt]]</f>
        <v>0</v>
      </c>
      <c r="AH54" s="2">
        <v>0.14222955703735299</v>
      </c>
      <c r="AI54">
        <v>112</v>
      </c>
      <c r="AJ54">
        <v>0</v>
      </c>
      <c r="AK54" s="2">
        <v>1.7463684082031201E-2</v>
      </c>
      <c r="AL54" s="2">
        <v>0.11279249191284101</v>
      </c>
      <c r="AM54" s="2">
        <v>4.4889450073242101E-3</v>
      </c>
      <c r="AN54">
        <v>9</v>
      </c>
      <c r="AO54" s="5">
        <f>(Graphes[[#This Row],[FC_Solution]]-Graphes[[#This Row],[Opt]])/Graphes[[#This Row],[Opt]]</f>
        <v>0</v>
      </c>
      <c r="AP54" s="2">
        <v>3.19387912750244E-2</v>
      </c>
      <c r="AQ54">
        <v>122</v>
      </c>
      <c r="AR54">
        <v>5</v>
      </c>
      <c r="AS54" s="2">
        <v>2.6449441909790001E-2</v>
      </c>
      <c r="AT54" s="2">
        <v>0</v>
      </c>
      <c r="AU54" s="2">
        <v>3.495454788208E-3</v>
      </c>
      <c r="AV54" s="7">
        <v>9</v>
      </c>
      <c r="AW54" s="5">
        <f>(Graphes[[#This Row],[DS_sans_clique_Solution]]-Graphes[Opt])/Graphes[Opt]</f>
        <v>0</v>
      </c>
      <c r="AX54" s="2">
        <v>4.3915748596191399E-2</v>
      </c>
      <c r="AY54" s="2">
        <v>121</v>
      </c>
      <c r="AZ54" s="2">
        <v>0</v>
      </c>
      <c r="BA54" s="2">
        <v>3.3436059951782199E-2</v>
      </c>
      <c r="BB54" s="2">
        <v>0</v>
      </c>
      <c r="BC54" s="2">
        <v>3.4935474395751901E-3</v>
      </c>
      <c r="BD54" s="5">
        <f>Graphes[[#This Row],[Max clique (lb)]]/Graphes[[#This Row],[Nb var]]</f>
        <v>7.4999999999999997E-2</v>
      </c>
      <c r="BE54" s="7">
        <f>Graphes[[#This Row],[Nb contraintes]]*Graphes[[#This Row],[ub]]*Graphes[[#This Row],[ub]]</f>
        <v>235984</v>
      </c>
    </row>
    <row r="55" spans="1:57" x14ac:dyDescent="0.25">
      <c r="A55" t="s">
        <v>65</v>
      </c>
      <c r="B55">
        <v>9</v>
      </c>
      <c r="C55" s="2">
        <v>0.83048582077026301</v>
      </c>
      <c r="D55">
        <v>64</v>
      </c>
      <c r="E55">
        <v>1400</v>
      </c>
      <c r="F55">
        <v>8</v>
      </c>
      <c r="G55">
        <v>28</v>
      </c>
      <c r="H55">
        <v>14</v>
      </c>
      <c r="I55" s="5">
        <f>(Graphes[[#This Row],[DS_Solution]]-Graphes[[#This Row],[Opt]])/Graphes[[#This Row],[Opt]]</f>
        <v>0.55555555555555558</v>
      </c>
      <c r="J55" s="2">
        <v>0.107933044433593</v>
      </c>
      <c r="K55">
        <v>93</v>
      </c>
      <c r="L55">
        <v>18</v>
      </c>
      <c r="M55" s="2">
        <v>4.0976285934448201E-2</v>
      </c>
      <c r="N55" s="2">
        <v>0</v>
      </c>
      <c r="O55" s="2">
        <v>5.3964138031005797E-2</v>
      </c>
      <c r="P55">
        <v>12</v>
      </c>
      <c r="Q55" s="5">
        <f>(Graphes[[#This Row],[FC_AC_30_sans_clique_Solution]]-Graphes[[#This Row],[Opt]])/Graphes[[#This Row],[Opt]]</f>
        <v>0.33333333333333331</v>
      </c>
      <c r="R55" s="2">
        <v>8.2945823669433594E-2</v>
      </c>
      <c r="S55">
        <v>65</v>
      </c>
      <c r="T55">
        <v>0</v>
      </c>
      <c r="U55" s="2">
        <v>8.9936256408691406E-3</v>
      </c>
      <c r="V55" s="2">
        <v>6.2959194183349595E-2</v>
      </c>
      <c r="W55" s="2">
        <v>5.9957504272460903E-3</v>
      </c>
      <c r="X55">
        <v>12</v>
      </c>
      <c r="Y55" s="5">
        <f>(Graphes[[#This Row],[FC_AC_30_Solution]]-Graphes[[#This Row],[Opt]])/Graphes[[#This Row],[Opt]]</f>
        <v>0.33333333333333331</v>
      </c>
      <c r="Z55" s="2">
        <v>0.130917072296142</v>
      </c>
      <c r="AA55">
        <v>57</v>
      </c>
      <c r="AB55">
        <v>0</v>
      </c>
      <c r="AC55" s="2">
        <v>7.9948902130126901E-3</v>
      </c>
      <c r="AD55" s="2">
        <v>0.116925239562988</v>
      </c>
      <c r="AE55" s="2">
        <v>1.9989013671875E-3</v>
      </c>
      <c r="AF55">
        <v>12</v>
      </c>
      <c r="AG55" s="5">
        <f>(Graphes[[#This Row],[FC_AC_Solution]]-Graphes[[#This Row],[Opt]])/Graphes[[#This Row],[Opt]]</f>
        <v>0.33333333333333331</v>
      </c>
      <c r="AH55" s="2">
        <v>0.58163928985595703</v>
      </c>
      <c r="AI55">
        <v>57</v>
      </c>
      <c r="AJ55">
        <v>0</v>
      </c>
      <c r="AK55" s="2">
        <v>1.19926929473876E-2</v>
      </c>
      <c r="AL55" s="2">
        <v>0.55565357208251898</v>
      </c>
      <c r="AM55" s="2">
        <v>9.9947452545165998E-3</v>
      </c>
      <c r="AN55">
        <v>14</v>
      </c>
      <c r="AO55" s="5">
        <f>(Graphes[[#This Row],[FC_Solution]]-Graphes[[#This Row],[Opt]])/Graphes[[#This Row],[Opt]]</f>
        <v>0.55555555555555558</v>
      </c>
      <c r="AP55" s="2">
        <v>1.99854373931884E-2</v>
      </c>
      <c r="AQ55">
        <v>93</v>
      </c>
      <c r="AR55">
        <v>18</v>
      </c>
      <c r="AS55" s="2">
        <v>9.9921226501464792E-3</v>
      </c>
      <c r="AT55" s="2">
        <v>0</v>
      </c>
      <c r="AU55" s="2">
        <v>7.9965591430663993E-3</v>
      </c>
      <c r="AV55" s="7">
        <v>12</v>
      </c>
      <c r="AW55" s="5">
        <f>(Graphes[[#This Row],[DS_sans_clique_Solution]]-Graphes[Opt])/Graphes[Opt]</f>
        <v>0.33333333333333331</v>
      </c>
      <c r="AX55" s="2">
        <v>1.8463850021362301E-2</v>
      </c>
      <c r="AY55" s="2">
        <v>65</v>
      </c>
      <c r="AZ55" s="2">
        <v>0</v>
      </c>
      <c r="BA55" s="2">
        <v>6.9873332977294896E-3</v>
      </c>
      <c r="BB55" s="2">
        <v>0</v>
      </c>
      <c r="BC55" s="2">
        <v>9.9794864654540998E-3</v>
      </c>
      <c r="BD55" s="5">
        <f>Graphes[[#This Row],[Max clique (lb)]]/Graphes[[#This Row],[Nb var]]</f>
        <v>0.125</v>
      </c>
      <c r="BE55" s="7">
        <f>Graphes[[#This Row],[Nb contraintes]]*Graphes[[#This Row],[ub]]*Graphes[[#This Row],[ub]]</f>
        <v>1097600</v>
      </c>
    </row>
    <row r="56" spans="1:57" x14ac:dyDescent="0.25">
      <c r="A56" t="s">
        <v>63</v>
      </c>
      <c r="B56">
        <v>7</v>
      </c>
      <c r="C56" s="2">
        <v>0.47170710563659601</v>
      </c>
      <c r="D56">
        <v>49</v>
      </c>
      <c r="E56">
        <v>922</v>
      </c>
      <c r="F56">
        <v>6</v>
      </c>
      <c r="G56">
        <v>25</v>
      </c>
      <c r="H56">
        <v>10</v>
      </c>
      <c r="I56" s="5">
        <f>(Graphes[[#This Row],[DS_Solution]]-Graphes[[#This Row],[Opt]])/Graphes[[#This Row],[Opt]]</f>
        <v>0.42857142857142855</v>
      </c>
      <c r="J56" s="2">
        <v>2.7981758117675701E-2</v>
      </c>
      <c r="K56">
        <v>70</v>
      </c>
      <c r="L56">
        <v>13</v>
      </c>
      <c r="M56" s="2">
        <v>1.29899978637695E-2</v>
      </c>
      <c r="N56" s="2">
        <v>0</v>
      </c>
      <c r="O56" s="2">
        <v>1.1994123458862299E-2</v>
      </c>
      <c r="P56">
        <v>10</v>
      </c>
      <c r="Q56" s="5">
        <f>(Graphes[[#This Row],[FC_AC_30_sans_clique_Solution]]-Graphes[[#This Row],[Opt]])/Graphes[[#This Row],[Opt]]</f>
        <v>0.42857142857142855</v>
      </c>
      <c r="R56" s="2">
        <v>4.5969724655151298E-2</v>
      </c>
      <c r="S56">
        <v>50</v>
      </c>
      <c r="T56">
        <v>0</v>
      </c>
      <c r="U56" s="2">
        <v>4.9993991851806597E-3</v>
      </c>
      <c r="V56" s="2">
        <v>3.2978296279907199E-2</v>
      </c>
      <c r="W56" s="2">
        <v>4.9946308135986302E-3</v>
      </c>
      <c r="X56">
        <v>10</v>
      </c>
      <c r="Y56" s="5">
        <f>(Graphes[[#This Row],[FC_AC_30_Solution]]-Graphes[[#This Row],[Opt]])/Graphes[[#This Row],[Opt]]</f>
        <v>0.42857142857142855</v>
      </c>
      <c r="Z56" s="2">
        <v>8.6946249008178697E-2</v>
      </c>
      <c r="AA56">
        <v>44</v>
      </c>
      <c r="AB56">
        <v>0</v>
      </c>
      <c r="AC56" s="2">
        <v>6.00028038024902E-3</v>
      </c>
      <c r="AD56" s="2">
        <v>7.1954011917114202E-2</v>
      </c>
      <c r="AE56" s="2">
        <v>4.9943923950195304E-3</v>
      </c>
      <c r="AF56">
        <v>10</v>
      </c>
      <c r="AG56" s="5">
        <f>(Graphes[[#This Row],[FC_AC_Solution]]-Graphes[[#This Row],[Opt]])/Graphes[[#This Row],[Opt]]</f>
        <v>0.42857142857142855</v>
      </c>
      <c r="AH56" s="2">
        <v>0.30581045150756803</v>
      </c>
      <c r="AI56">
        <v>44</v>
      </c>
      <c r="AJ56">
        <v>0</v>
      </c>
      <c r="AK56" s="2">
        <v>3.9985179901123004E-3</v>
      </c>
      <c r="AL56" s="2">
        <v>0.29381966590881298</v>
      </c>
      <c r="AM56" s="2">
        <v>7.9922676086425695E-3</v>
      </c>
      <c r="AN56">
        <v>10</v>
      </c>
      <c r="AO56" s="5">
        <f>(Graphes[[#This Row],[FC_Solution]]-Graphes[[#This Row],[Opt]])/Graphes[[#This Row],[Opt]]</f>
        <v>0.42857142857142855</v>
      </c>
      <c r="AP56" s="2">
        <v>1.3993501663207999E-2</v>
      </c>
      <c r="AQ56">
        <v>70</v>
      </c>
      <c r="AR56">
        <v>13</v>
      </c>
      <c r="AS56" s="2">
        <v>4.9986839294433498E-3</v>
      </c>
      <c r="AT56" s="2">
        <v>0</v>
      </c>
      <c r="AU56" s="2">
        <v>6.9963932037353498E-3</v>
      </c>
      <c r="AV56" s="7">
        <v>10</v>
      </c>
      <c r="AW56" s="5">
        <f>(Graphes[[#This Row],[DS_sans_clique_Solution]]-Graphes[Opt])/Graphes[Opt]</f>
        <v>0.42857142857142855</v>
      </c>
      <c r="AX56" s="2">
        <v>1.1977195739746E-2</v>
      </c>
      <c r="AY56" s="2">
        <v>50</v>
      </c>
      <c r="AZ56" s="2">
        <v>0</v>
      </c>
      <c r="BA56" s="2">
        <v>6.4857006072998004E-3</v>
      </c>
      <c r="BB56" s="2">
        <v>0</v>
      </c>
      <c r="BC56" s="2">
        <v>4.4927597045898403E-3</v>
      </c>
      <c r="BD56" s="5">
        <f>Graphes[[#This Row],[Max clique (lb)]]/Graphes[[#This Row],[Nb var]]</f>
        <v>0.12244897959183673</v>
      </c>
      <c r="BE56" s="7">
        <f>Graphes[[#This Row],[Nb contraintes]]*Graphes[[#This Row],[ub]]*Graphes[[#This Row],[ub]]</f>
        <v>576250</v>
      </c>
    </row>
    <row r="57" spans="1:57" x14ac:dyDescent="0.25">
      <c r="A57" t="s">
        <v>53</v>
      </c>
      <c r="B57">
        <v>6</v>
      </c>
      <c r="C57" s="2">
        <v>0.144911289215087</v>
      </c>
      <c r="D57">
        <v>47</v>
      </c>
      <c r="E57">
        <v>235</v>
      </c>
      <c r="F57">
        <v>2</v>
      </c>
      <c r="G57">
        <v>24</v>
      </c>
      <c r="H57">
        <v>6</v>
      </c>
      <c r="I57" s="5">
        <f>(Graphes[[#This Row],[DS_Solution]]-Graphes[[#This Row],[Opt]])/Graphes[[#This Row],[Opt]]</f>
        <v>0</v>
      </c>
      <c r="J57" s="2">
        <v>1.8990039825439401E-2</v>
      </c>
      <c r="K57">
        <v>70</v>
      </c>
      <c r="L57">
        <v>12</v>
      </c>
      <c r="M57" s="2">
        <v>1.2991666793823201E-2</v>
      </c>
      <c r="N57" s="2">
        <v>0</v>
      </c>
      <c r="O57" s="2">
        <v>3.9970874786376901E-3</v>
      </c>
      <c r="P57">
        <v>6</v>
      </c>
      <c r="Q57" s="5">
        <f>(Graphes[[#This Row],[FC_AC_30_sans_clique_Solution]]-Graphes[[#This Row],[Opt]])/Graphes[[#This Row],[Opt]]</f>
        <v>0</v>
      </c>
      <c r="R57" s="2">
        <v>1.8215656280517498E-2</v>
      </c>
      <c r="S57">
        <v>48</v>
      </c>
      <c r="T57">
        <v>0</v>
      </c>
      <c r="U57" s="2">
        <v>3.9987564086914002E-3</v>
      </c>
      <c r="V57" s="2">
        <v>1.0221004486083899E-2</v>
      </c>
      <c r="W57" s="2">
        <v>1.9979476928710898E-3</v>
      </c>
      <c r="X57">
        <v>6</v>
      </c>
      <c r="Y57" s="5">
        <f>(Graphes[[#This Row],[FC_AC_30_Solution]]-Graphes[[#This Row],[Opt]])/Graphes[[#This Row],[Opt]]</f>
        <v>0</v>
      </c>
      <c r="Z57" s="2">
        <v>1.7988204956054601E-2</v>
      </c>
      <c r="AA57">
        <v>46</v>
      </c>
      <c r="AB57">
        <v>0</v>
      </c>
      <c r="AC57" s="2">
        <v>4.9962997436523403E-3</v>
      </c>
      <c r="AD57" s="2">
        <v>1.1991739273071201E-2</v>
      </c>
      <c r="AE57" s="2">
        <v>0</v>
      </c>
      <c r="AF57">
        <v>6</v>
      </c>
      <c r="AG57" s="5">
        <f>(Graphes[[#This Row],[FC_AC_Solution]]-Graphes[[#This Row],[Opt]])/Graphes[[#This Row],[Opt]]</f>
        <v>0</v>
      </c>
      <c r="AH57" s="2">
        <v>6.4959287643432603E-2</v>
      </c>
      <c r="AI57">
        <v>46</v>
      </c>
      <c r="AJ57">
        <v>0</v>
      </c>
      <c r="AK57" s="2">
        <v>8.9972019195556606E-3</v>
      </c>
      <c r="AL57" s="2">
        <v>4.8966884613037102E-2</v>
      </c>
      <c r="AM57" s="2">
        <v>2.99835205078125E-3</v>
      </c>
      <c r="AN57">
        <v>6</v>
      </c>
      <c r="AO57" s="5">
        <f>(Graphes[[#This Row],[FC_Solution]]-Graphes[[#This Row],[Opt]])/Graphes[[#This Row],[Opt]]</f>
        <v>0</v>
      </c>
      <c r="AP57" s="2">
        <v>9.9942684173583898E-3</v>
      </c>
      <c r="AQ57">
        <v>70</v>
      </c>
      <c r="AR57">
        <v>12</v>
      </c>
      <c r="AS57" s="2">
        <v>5.9957504272460903E-3</v>
      </c>
      <c r="AT57" s="2">
        <v>0</v>
      </c>
      <c r="AU57" s="2">
        <v>1.0008811950683501E-3</v>
      </c>
      <c r="AV57" s="7">
        <v>6</v>
      </c>
      <c r="AW57" s="5">
        <f>(Graphes[[#This Row],[DS_sans_clique_Solution]]-Graphes[Opt])/Graphes[Opt]</f>
        <v>0</v>
      </c>
      <c r="AX57" s="2">
        <v>5.4898262023925703E-3</v>
      </c>
      <c r="AY57" s="2">
        <v>48</v>
      </c>
      <c r="AZ57" s="2">
        <v>0</v>
      </c>
      <c r="BA57" s="2">
        <v>2.9940605163574201E-3</v>
      </c>
      <c r="BB57" s="2">
        <v>0</v>
      </c>
      <c r="BC57" s="2">
        <v>1.9969940185546801E-3</v>
      </c>
      <c r="BD57" s="5">
        <f>Graphes[[#This Row],[Max clique (lb)]]/Graphes[[#This Row],[Nb var]]</f>
        <v>4.2553191489361701E-2</v>
      </c>
      <c r="BE57" s="7">
        <f>Graphes[[#This Row],[Nb contraintes]]*Graphes[[#This Row],[ub]]*Graphes[[#This Row],[ub]]</f>
        <v>135360</v>
      </c>
    </row>
    <row r="58" spans="1:57" x14ac:dyDescent="0.25">
      <c r="A58" t="s">
        <v>62</v>
      </c>
      <c r="B58">
        <v>6</v>
      </c>
      <c r="C58" s="2">
        <v>0.118927240371704</v>
      </c>
      <c r="D58">
        <v>36</v>
      </c>
      <c r="E58">
        <v>550</v>
      </c>
      <c r="F58">
        <v>6</v>
      </c>
      <c r="G58">
        <v>20</v>
      </c>
      <c r="H58">
        <v>9</v>
      </c>
      <c r="I58" s="5">
        <f>(Graphes[[#This Row],[DS_Solution]]-Graphes[[#This Row],[Opt]])/Graphes[[#This Row],[Opt]]</f>
        <v>0.5</v>
      </c>
      <c r="J58" s="2">
        <v>4.9946308135986302E-3</v>
      </c>
      <c r="K58">
        <v>51</v>
      </c>
      <c r="L58">
        <v>10</v>
      </c>
      <c r="M58" s="2">
        <v>9.9897384643554601E-4</v>
      </c>
      <c r="N58" s="2">
        <v>0</v>
      </c>
      <c r="O58" s="2">
        <v>3.9956569671630799E-3</v>
      </c>
      <c r="P58">
        <v>9</v>
      </c>
      <c r="Q58" s="5">
        <f>(Graphes[[#This Row],[FC_AC_30_sans_clique_Solution]]-Graphes[[#This Row],[Opt]])/Graphes[[#This Row],[Opt]]</f>
        <v>0.5</v>
      </c>
      <c r="R58" s="2">
        <v>2.0986318588256801E-2</v>
      </c>
      <c r="S58">
        <v>37</v>
      </c>
      <c r="T58">
        <v>0</v>
      </c>
      <c r="U58" s="2">
        <v>1.9979476928710898E-3</v>
      </c>
      <c r="V58" s="2">
        <v>1.4990329742431601E-2</v>
      </c>
      <c r="W58" s="2">
        <v>2.99835205078125E-3</v>
      </c>
      <c r="X58">
        <v>9</v>
      </c>
      <c r="Y58" s="5">
        <f>(Graphes[[#This Row],[FC_AC_30_Solution]]-Graphes[[#This Row],[Opt]])/Graphes[[#This Row],[Opt]]</f>
        <v>0.5</v>
      </c>
      <c r="Z58" s="2">
        <v>3.4977197647094699E-2</v>
      </c>
      <c r="AA58">
        <v>31</v>
      </c>
      <c r="AB58">
        <v>0</v>
      </c>
      <c r="AC58" s="2">
        <v>1.9981861114501901E-3</v>
      </c>
      <c r="AD58" s="2">
        <v>3.0979871749877898E-2</v>
      </c>
      <c r="AE58" s="2">
        <v>1.9991397857665998E-3</v>
      </c>
      <c r="AF58">
        <v>9</v>
      </c>
      <c r="AG58" s="5">
        <f>(Graphes[[#This Row],[FC_AC_Solution]]-Graphes[[#This Row],[Opt]])/Graphes[[#This Row],[Opt]]</f>
        <v>0.5</v>
      </c>
      <c r="AH58" s="2">
        <v>9.0943813323974595E-2</v>
      </c>
      <c r="AI58">
        <v>31</v>
      </c>
      <c r="AJ58">
        <v>0</v>
      </c>
      <c r="AK58" s="2">
        <v>3.997802734375E-3</v>
      </c>
      <c r="AL58" s="2">
        <v>8.4946870803832994E-2</v>
      </c>
      <c r="AM58" s="2">
        <v>1.9991397857665998E-3</v>
      </c>
      <c r="AN58">
        <v>9</v>
      </c>
      <c r="AO58" s="5">
        <f>(Graphes[[#This Row],[FC_Solution]]-Graphes[[#This Row],[Opt]])/Graphes[[#This Row],[Opt]]</f>
        <v>0.5</v>
      </c>
      <c r="AP58" s="2">
        <v>4.9970149993896398E-3</v>
      </c>
      <c r="AQ58">
        <v>51</v>
      </c>
      <c r="AR58">
        <v>10</v>
      </c>
      <c r="AS58" s="2">
        <v>0</v>
      </c>
      <c r="AT58" s="2">
        <v>0</v>
      </c>
      <c r="AU58" s="2">
        <v>2.9978752136230399E-3</v>
      </c>
      <c r="AV58" s="7">
        <v>9</v>
      </c>
      <c r="AW58" s="5">
        <f>(Graphes[[#This Row],[DS_sans_clique_Solution]]-Graphes[Opt])/Graphes[Opt]</f>
        <v>0.5</v>
      </c>
      <c r="AX58" s="2">
        <v>5.9874057769775304E-3</v>
      </c>
      <c r="AY58" s="2">
        <v>37</v>
      </c>
      <c r="AZ58" s="2">
        <v>0</v>
      </c>
      <c r="BA58" s="2">
        <v>1.99651718139648E-3</v>
      </c>
      <c r="BB58" s="2">
        <v>0</v>
      </c>
      <c r="BC58" s="2">
        <v>3.9908885955810504E-3</v>
      </c>
      <c r="BD58" s="5">
        <f>Graphes[[#This Row],[Max clique (lb)]]/Graphes[[#This Row],[Nb var]]</f>
        <v>0.16666666666666666</v>
      </c>
      <c r="BE58" s="7">
        <f>Graphes[[#This Row],[Nb contraintes]]*Graphes[[#This Row],[ub]]*Graphes[[#This Row],[ub]]</f>
        <v>220000</v>
      </c>
    </row>
    <row r="59" spans="1:57" x14ac:dyDescent="0.25">
      <c r="A59" t="s">
        <v>61</v>
      </c>
      <c r="B59">
        <v>5</v>
      </c>
      <c r="C59" s="2">
        <v>0.29281878471374501</v>
      </c>
      <c r="D59">
        <v>25</v>
      </c>
      <c r="E59">
        <v>300</v>
      </c>
      <c r="F59">
        <v>5</v>
      </c>
      <c r="G59">
        <v>17</v>
      </c>
      <c r="H59">
        <v>6</v>
      </c>
      <c r="I59" s="5">
        <f>(Graphes[[#This Row],[DS_Solution]]-Graphes[[#This Row],[Opt]])/Graphes[[#This Row],[Opt]]</f>
        <v>0.2</v>
      </c>
      <c r="J59" s="2">
        <v>2.9973983764648398E-3</v>
      </c>
      <c r="K59">
        <v>29</v>
      </c>
      <c r="L59">
        <v>4</v>
      </c>
      <c r="M59" s="2">
        <v>2.9973983764648398E-3</v>
      </c>
      <c r="N59" s="2">
        <v>0</v>
      </c>
      <c r="O59" s="2">
        <v>0</v>
      </c>
      <c r="P59">
        <v>5</v>
      </c>
      <c r="Q59" s="5">
        <f>(Graphes[[#This Row],[FC_AC_30_sans_clique_Solution]]-Graphes[[#This Row],[Opt]])/Graphes[[#This Row],[Opt]]</f>
        <v>0</v>
      </c>
      <c r="R59" s="2">
        <v>1.1991739273071201E-2</v>
      </c>
      <c r="S59">
        <v>26</v>
      </c>
      <c r="T59">
        <v>0</v>
      </c>
      <c r="U59" s="2">
        <v>0</v>
      </c>
      <c r="V59" s="2">
        <v>8.9929103851318307E-3</v>
      </c>
      <c r="W59" s="2">
        <v>1.9986629486083902E-3</v>
      </c>
      <c r="X59">
        <v>5</v>
      </c>
      <c r="Y59" s="5">
        <f>(Graphes[[#This Row],[FC_AC_30_Solution]]-Graphes[[#This Row],[Opt]])/Graphes[[#This Row],[Opt]]</f>
        <v>0</v>
      </c>
      <c r="Z59" s="2">
        <v>1.7184972763061499E-2</v>
      </c>
      <c r="AA59">
        <v>21</v>
      </c>
      <c r="AB59">
        <v>0</v>
      </c>
      <c r="AC59" s="2">
        <v>1.9993782043457001E-3</v>
      </c>
      <c r="AD59" s="2">
        <v>1.4185905456542899E-2</v>
      </c>
      <c r="AE59" s="2">
        <v>9.9968910217285091E-4</v>
      </c>
      <c r="AF59">
        <v>5</v>
      </c>
      <c r="AG59" s="5">
        <f>(Graphes[[#This Row],[FC_AC_Solution]]-Graphes[[#This Row],[Opt]])/Graphes[[#This Row],[Opt]]</f>
        <v>0</v>
      </c>
      <c r="AH59" s="2">
        <v>3.0981540679931599E-2</v>
      </c>
      <c r="AI59">
        <v>21</v>
      </c>
      <c r="AJ59">
        <v>0</v>
      </c>
      <c r="AK59" s="2">
        <v>4.9960613250732396E-3</v>
      </c>
      <c r="AL59" s="2">
        <v>2.49860286712646E-2</v>
      </c>
      <c r="AM59" s="2">
        <v>9.9945068359375E-4</v>
      </c>
      <c r="AN59">
        <v>6</v>
      </c>
      <c r="AO59" s="5">
        <f>(Graphes[[#This Row],[FC_Solution]]-Graphes[[#This Row],[Opt]])/Graphes[[#This Row],[Opt]]</f>
        <v>0.2</v>
      </c>
      <c r="AP59" s="2">
        <v>3.9992332458495998E-3</v>
      </c>
      <c r="AQ59">
        <v>29</v>
      </c>
      <c r="AR59">
        <v>4</v>
      </c>
      <c r="AS59" s="2">
        <v>0</v>
      </c>
      <c r="AT59" s="2">
        <v>0</v>
      </c>
      <c r="AU59" s="2">
        <v>1.99723243713378E-3</v>
      </c>
      <c r="AV59" s="7">
        <v>5</v>
      </c>
      <c r="AW59" s="5">
        <f>(Graphes[[#This Row],[DS_sans_clique_Solution]]-Graphes[Opt])/Graphes[Opt]</f>
        <v>0</v>
      </c>
      <c r="AX59" s="2">
        <v>4.9915313720703099E-3</v>
      </c>
      <c r="AY59" s="2">
        <v>26</v>
      </c>
      <c r="AZ59" s="2">
        <v>0</v>
      </c>
      <c r="BA59" s="2">
        <v>1.9979476928710898E-3</v>
      </c>
      <c r="BB59" s="2">
        <v>0</v>
      </c>
      <c r="BC59" s="2">
        <v>2.4943351745605399E-3</v>
      </c>
      <c r="BD59" s="5">
        <f>Graphes[[#This Row],[Max clique (lb)]]/Graphes[[#This Row],[Nb var]]</f>
        <v>0.2</v>
      </c>
      <c r="BE59" s="7">
        <f>Graphes[[#This Row],[Nb contraintes]]*Graphes[[#This Row],[ub]]*Graphes[[#This Row],[ub]]</f>
        <v>86700</v>
      </c>
    </row>
    <row r="60" spans="1:57" x14ac:dyDescent="0.25">
      <c r="A60" t="s">
        <v>52</v>
      </c>
      <c r="B60">
        <v>5</v>
      </c>
      <c r="C60" s="2">
        <v>4.29730415344238E-2</v>
      </c>
      <c r="D60">
        <v>23</v>
      </c>
      <c r="E60">
        <v>70</v>
      </c>
      <c r="F60">
        <v>2</v>
      </c>
      <c r="G60">
        <v>12</v>
      </c>
      <c r="H60">
        <v>5</v>
      </c>
      <c r="I60" s="5">
        <f>(Graphes[[#This Row],[DS_Solution]]-Graphes[[#This Row],[Opt]])/Graphes[[#This Row],[Opt]]</f>
        <v>0</v>
      </c>
      <c r="J60" s="2">
        <v>4.9967765808105399E-3</v>
      </c>
      <c r="K60">
        <v>30</v>
      </c>
      <c r="L60">
        <v>4</v>
      </c>
      <c r="M60" s="2">
        <v>3.9968490600585903E-3</v>
      </c>
      <c r="N60" s="2">
        <v>0</v>
      </c>
      <c r="O60" s="2">
        <v>9.9992752075195291E-4</v>
      </c>
      <c r="P60">
        <v>5</v>
      </c>
      <c r="Q60" s="5">
        <f>(Graphes[[#This Row],[FC_AC_30_sans_clique_Solution]]-Graphes[[#This Row],[Opt]])/Graphes[[#This Row],[Opt]]</f>
        <v>0</v>
      </c>
      <c r="R60" s="2">
        <v>2.9978752136230399E-3</v>
      </c>
      <c r="S60">
        <v>24</v>
      </c>
      <c r="T60">
        <v>0</v>
      </c>
      <c r="U60" s="2">
        <v>9.984970092773431E-4</v>
      </c>
      <c r="V60" s="2">
        <v>1.0001659393310499E-3</v>
      </c>
      <c r="W60" s="2">
        <v>0</v>
      </c>
      <c r="X60">
        <v>5</v>
      </c>
      <c r="Y60" s="5">
        <f>(Graphes[[#This Row],[FC_AC_30_Solution]]-Graphes[[#This Row],[Opt]])/Graphes[[#This Row],[Opt]]</f>
        <v>0</v>
      </c>
      <c r="Z60" s="2">
        <v>2.9981136322021402E-3</v>
      </c>
      <c r="AA60">
        <v>22</v>
      </c>
      <c r="AB60">
        <v>0</v>
      </c>
      <c r="AC60" s="2">
        <v>9.99212265014648E-4</v>
      </c>
      <c r="AD60" s="2">
        <v>9.9968910217285091E-4</v>
      </c>
      <c r="AE60" s="2">
        <v>0</v>
      </c>
      <c r="AF60">
        <v>5</v>
      </c>
      <c r="AG60" s="5">
        <f>(Graphes[[#This Row],[FC_AC_Solution]]-Graphes[[#This Row],[Opt]])/Graphes[[#This Row],[Opt]]</f>
        <v>0</v>
      </c>
      <c r="AH60" s="2">
        <v>9.9954605102538993E-3</v>
      </c>
      <c r="AI60">
        <v>22</v>
      </c>
      <c r="AJ60">
        <v>0</v>
      </c>
      <c r="AK60" s="2">
        <v>2.9993057250976502E-3</v>
      </c>
      <c r="AL60" s="2">
        <v>5.9962272644042899E-3</v>
      </c>
      <c r="AM60" s="2">
        <v>9.9992752075195291E-4</v>
      </c>
      <c r="AN60">
        <v>5</v>
      </c>
      <c r="AO60" s="5">
        <f>(Graphes[[#This Row],[FC_Solution]]-Graphes[[#This Row],[Opt]])/Graphes[[#This Row],[Opt]]</f>
        <v>0</v>
      </c>
      <c r="AP60" s="2">
        <v>1.9960403442382799E-3</v>
      </c>
      <c r="AQ60">
        <v>30</v>
      </c>
      <c r="AR60">
        <v>4</v>
      </c>
      <c r="AS60" s="2">
        <v>9.9897384643554601E-4</v>
      </c>
      <c r="AT60" s="2">
        <v>0</v>
      </c>
      <c r="AU60" s="2">
        <v>0</v>
      </c>
      <c r="AV60" s="7">
        <v>5</v>
      </c>
      <c r="AW60" s="5">
        <f>(Graphes[[#This Row],[DS_sans_clique_Solution]]-Graphes[Opt])/Graphes[Opt]</f>
        <v>0</v>
      </c>
      <c r="AX60" s="2">
        <v>2.4955272674560499E-3</v>
      </c>
      <c r="AY60" s="2">
        <v>24</v>
      </c>
      <c r="AZ60" s="2">
        <v>0</v>
      </c>
      <c r="BA60" s="2">
        <v>1.9967555999755799E-3</v>
      </c>
      <c r="BB60" s="2">
        <v>0</v>
      </c>
      <c r="BC60" s="2">
        <v>0</v>
      </c>
      <c r="BD60" s="5">
        <f>Graphes[[#This Row],[Max clique (lb)]]/Graphes[[#This Row],[Nb var]]</f>
        <v>8.6956521739130432E-2</v>
      </c>
      <c r="BE60" s="7">
        <f>Graphes[[#This Row],[Nb contraintes]]*Graphes[[#This Row],[ub]]*Graphes[[#This Row],[ub]]</f>
        <v>10080</v>
      </c>
    </row>
    <row r="61" spans="1:57" x14ac:dyDescent="0.25">
      <c r="A61" t="s">
        <v>50</v>
      </c>
      <c r="B61">
        <v>3</v>
      </c>
      <c r="C61" s="2">
        <v>9.9992752075195291E-4</v>
      </c>
      <c r="D61">
        <v>5</v>
      </c>
      <c r="E61">
        <v>4</v>
      </c>
      <c r="F61">
        <v>2</v>
      </c>
      <c r="G61">
        <v>1</v>
      </c>
      <c r="H61">
        <v>3</v>
      </c>
      <c r="I61" s="5">
        <f>(Graphes[[#This Row],[DS_Solution]]-Graphes[[#This Row],[Opt]])/Graphes[[#This Row],[Opt]]</f>
        <v>0</v>
      </c>
      <c r="J61" s="2">
        <v>9.9968910217285091E-4</v>
      </c>
      <c r="K61">
        <v>5</v>
      </c>
      <c r="L61">
        <v>1</v>
      </c>
      <c r="M61" s="2">
        <v>9.9968910217285091E-4</v>
      </c>
      <c r="N61" s="2">
        <v>0</v>
      </c>
      <c r="O61" s="2">
        <v>0</v>
      </c>
      <c r="P61">
        <v>3</v>
      </c>
      <c r="Q61" s="5">
        <f>(Graphes[[#This Row],[FC_AC_30_sans_clique_Solution]]-Graphes[[#This Row],[Opt]])/Graphes[[#This Row],[Opt]]</f>
        <v>0</v>
      </c>
      <c r="R61" s="2">
        <v>1.99651718139648E-3</v>
      </c>
      <c r="S61">
        <v>5</v>
      </c>
      <c r="T61">
        <v>0</v>
      </c>
      <c r="U61" s="2">
        <v>0</v>
      </c>
      <c r="V61" s="2">
        <v>0</v>
      </c>
      <c r="W61" s="2">
        <v>0</v>
      </c>
      <c r="X61">
        <v>3</v>
      </c>
      <c r="Y61" s="5">
        <f>(Graphes[[#This Row],[FC_AC_30_Solution]]-Graphes[[#This Row],[Opt]])/Graphes[[#This Row],[Opt]]</f>
        <v>0</v>
      </c>
      <c r="Z61" s="2">
        <v>1.9993782043457001E-3</v>
      </c>
      <c r="AA61">
        <v>3</v>
      </c>
      <c r="AB61">
        <v>0</v>
      </c>
      <c r="AC61" s="2">
        <v>0</v>
      </c>
      <c r="AD61" s="2">
        <v>0</v>
      </c>
      <c r="AE61" s="2">
        <v>0</v>
      </c>
      <c r="AF61">
        <v>3</v>
      </c>
      <c r="AG61" s="5">
        <f>(Graphes[[#This Row],[FC_AC_Solution]]-Graphes[[#This Row],[Opt]])/Graphes[[#This Row],[Opt]]</f>
        <v>0</v>
      </c>
      <c r="AH61" s="2">
        <v>0</v>
      </c>
      <c r="AI61">
        <v>3</v>
      </c>
      <c r="AJ61">
        <v>0</v>
      </c>
      <c r="AK61" s="2">
        <v>0</v>
      </c>
      <c r="AL61" s="2">
        <v>0</v>
      </c>
      <c r="AM61" s="2">
        <v>0</v>
      </c>
      <c r="AN61">
        <v>3</v>
      </c>
      <c r="AO61" s="5">
        <f>(Graphes[[#This Row],[FC_Solution]]-Graphes[[#This Row],[Opt]])/Graphes[[#This Row],[Opt]]</f>
        <v>0</v>
      </c>
      <c r="AP61" s="2">
        <v>0</v>
      </c>
      <c r="AQ61">
        <v>5</v>
      </c>
      <c r="AR61">
        <v>1</v>
      </c>
      <c r="AS61" s="2">
        <v>0</v>
      </c>
      <c r="AT61" s="2">
        <v>0</v>
      </c>
      <c r="AU61" s="2">
        <v>0</v>
      </c>
      <c r="AV61" s="7">
        <v>3</v>
      </c>
      <c r="AW61" s="5">
        <f>(Graphes[[#This Row],[DS_sans_clique_Solution]]-Graphes[Opt])/Graphes[Opt]</f>
        <v>0</v>
      </c>
      <c r="AX61" s="2">
        <v>9.9587440490722591E-4</v>
      </c>
      <c r="AY61" s="2">
        <v>5</v>
      </c>
      <c r="AZ61" s="2">
        <v>0</v>
      </c>
      <c r="BA61" s="2">
        <v>0</v>
      </c>
      <c r="BB61" s="2">
        <v>0</v>
      </c>
      <c r="BC61" s="2">
        <v>0</v>
      </c>
      <c r="BD61" s="5">
        <f>Graphes[[#This Row],[Max clique (lb)]]/Graphes[[#This Row],[Nb var]]</f>
        <v>0.4</v>
      </c>
      <c r="BE61" s="7">
        <f>Graphes[[#This Row],[Nb contraintes]]*Graphes[[#This Row],[ub]]*Graphes[[#This Row],[ub]]</f>
        <v>4</v>
      </c>
    </row>
    <row r="62" spans="1:57" x14ac:dyDescent="0.25">
      <c r="A62" t="s">
        <v>51</v>
      </c>
      <c r="B62">
        <v>4</v>
      </c>
      <c r="C62" s="2">
        <v>6.99615478515625E-3</v>
      </c>
      <c r="D62">
        <v>11</v>
      </c>
      <c r="E62">
        <v>19</v>
      </c>
      <c r="F62">
        <v>2</v>
      </c>
      <c r="G62">
        <v>6</v>
      </c>
      <c r="H62">
        <v>4</v>
      </c>
      <c r="I62" s="5">
        <f>(Graphes[[#This Row],[DS_Solution]]-Graphes[[#This Row],[Opt]])/Graphes[[#This Row],[Opt]]</f>
        <v>0</v>
      </c>
      <c r="J62" s="2">
        <v>9.9897384643554601E-4</v>
      </c>
      <c r="K62">
        <v>16</v>
      </c>
      <c r="L62">
        <v>3</v>
      </c>
      <c r="M62" s="2">
        <v>0</v>
      </c>
      <c r="N62" s="2">
        <v>0</v>
      </c>
      <c r="O62" s="2">
        <v>0</v>
      </c>
      <c r="P62">
        <v>4</v>
      </c>
      <c r="Q62" s="5">
        <f>(Graphes[[#This Row],[FC_AC_30_sans_clique_Solution]]-Graphes[[#This Row],[Opt]])/Graphes[[#This Row],[Opt]]</f>
        <v>0</v>
      </c>
      <c r="R62" s="2">
        <v>1.9974708557128902E-3</v>
      </c>
      <c r="S62">
        <v>12</v>
      </c>
      <c r="T62">
        <v>0</v>
      </c>
      <c r="U62" s="2">
        <v>9.99212265014648E-4</v>
      </c>
      <c r="V62" s="2">
        <v>9.9825859069824197E-4</v>
      </c>
      <c r="W62" s="2">
        <v>0</v>
      </c>
      <c r="X62">
        <v>4</v>
      </c>
      <c r="Y62" s="5">
        <f>(Graphes[[#This Row],[FC_AC_30_Solution]]-Graphes[[#This Row],[Opt]])/Graphes[[#This Row],[Opt]]</f>
        <v>0</v>
      </c>
      <c r="Z62" s="2">
        <v>9.9945068359375E-4</v>
      </c>
      <c r="AA62">
        <v>10</v>
      </c>
      <c r="AB62">
        <v>0</v>
      </c>
      <c r="AC62" s="2">
        <v>0</v>
      </c>
      <c r="AD62" s="2">
        <v>9.9945068359375E-4</v>
      </c>
      <c r="AE62" s="2">
        <v>0</v>
      </c>
      <c r="AF62">
        <v>4</v>
      </c>
      <c r="AG62" s="5">
        <f>(Graphes[[#This Row],[FC_AC_Solution]]-Graphes[[#This Row],[Opt]])/Graphes[[#This Row],[Opt]]</f>
        <v>0</v>
      </c>
      <c r="AH62" s="2">
        <v>1.00064277648925E-3</v>
      </c>
      <c r="AI62">
        <v>10</v>
      </c>
      <c r="AJ62">
        <v>0</v>
      </c>
      <c r="AK62" s="2">
        <v>0</v>
      </c>
      <c r="AL62" s="2">
        <v>1.00064277648925E-3</v>
      </c>
      <c r="AM62" s="2">
        <v>0</v>
      </c>
      <c r="AN62">
        <v>4</v>
      </c>
      <c r="AO62" s="5">
        <f>(Graphes[[#This Row],[FC_Solution]]-Graphes[[#This Row],[Opt]])/Graphes[[#This Row],[Opt]]</f>
        <v>0</v>
      </c>
      <c r="AP62" s="2">
        <v>0</v>
      </c>
      <c r="AQ62">
        <v>16</v>
      </c>
      <c r="AR62">
        <v>3</v>
      </c>
      <c r="AS62" s="2">
        <v>0</v>
      </c>
      <c r="AT62" s="2">
        <v>0</v>
      </c>
      <c r="AU62" s="2">
        <v>0</v>
      </c>
      <c r="AV62" s="7">
        <v>4</v>
      </c>
      <c r="AW62" s="5">
        <f>(Graphes[[#This Row],[DS_sans_clique_Solution]]-Graphes[Opt])/Graphes[Opt]</f>
        <v>0</v>
      </c>
      <c r="AX62" s="2">
        <v>5.0067901611328103E-4</v>
      </c>
      <c r="AY62" s="2">
        <v>12</v>
      </c>
      <c r="AZ62" s="2">
        <v>0</v>
      </c>
      <c r="BA62" s="2">
        <v>0</v>
      </c>
      <c r="BB62" s="2">
        <v>0</v>
      </c>
      <c r="BC62" s="2">
        <v>0</v>
      </c>
      <c r="BD62" s="5">
        <f>Graphes[[#This Row],[Max clique (lb)]]/Graphes[[#This Row],[Nb var]]</f>
        <v>0.18181818181818182</v>
      </c>
      <c r="BE62" s="7">
        <f>Graphes[[#This Row],[Nb contraintes]]*Graphes[[#This Row],[ub]]*Graphes[[#This Row],[ub]]</f>
        <v>684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6B89-65D9-4614-874A-94471A1773EB}">
  <dimension ref="A1:AI79"/>
  <sheetViews>
    <sheetView topLeftCell="A64" workbookViewId="0">
      <selection activeCell="B79" sqref="B79"/>
    </sheetView>
  </sheetViews>
  <sheetFormatPr baseColWidth="10" defaultColWidth="11.5703125" defaultRowHeight="15" x14ac:dyDescent="0.25"/>
  <cols>
    <col min="18" max="23" width="9.7109375" customWidth="1"/>
  </cols>
  <sheetData>
    <row r="1" spans="1:35" ht="45" x14ac:dyDescent="0.25">
      <c r="C1" t="s">
        <v>513</v>
      </c>
      <c r="D1" s="1" t="s">
        <v>514</v>
      </c>
      <c r="I1" s="1" t="s">
        <v>514</v>
      </c>
      <c r="L1" t="s">
        <v>603</v>
      </c>
      <c r="N1" t="s">
        <v>513</v>
      </c>
      <c r="O1" s="1" t="s">
        <v>514</v>
      </c>
      <c r="U1" t="s">
        <v>513</v>
      </c>
      <c r="V1" s="1" t="s">
        <v>514</v>
      </c>
      <c r="Y1" t="s">
        <v>605</v>
      </c>
      <c r="AA1" t="s">
        <v>513</v>
      </c>
      <c r="AB1" s="1" t="s">
        <v>514</v>
      </c>
    </row>
    <row r="2" spans="1:35" ht="60" x14ac:dyDescent="0.25">
      <c r="A2" t="s">
        <v>5</v>
      </c>
      <c r="B2" t="s">
        <v>6</v>
      </c>
      <c r="C2" t="s">
        <v>513</v>
      </c>
      <c r="D2" s="1" t="s">
        <v>75</v>
      </c>
      <c r="E2" t="s">
        <v>14</v>
      </c>
      <c r="H2" t="s">
        <v>6</v>
      </c>
      <c r="I2" s="1" t="s">
        <v>75</v>
      </c>
      <c r="J2" t="s">
        <v>14</v>
      </c>
      <c r="L2" t="s">
        <v>7</v>
      </c>
      <c r="M2" t="s">
        <v>6</v>
      </c>
      <c r="N2" t="s">
        <v>513</v>
      </c>
      <c r="O2" s="1" t="s">
        <v>75</v>
      </c>
      <c r="P2" t="s">
        <v>14</v>
      </c>
      <c r="R2" s="1" t="s">
        <v>7</v>
      </c>
      <c r="S2" s="1" t="s">
        <v>104</v>
      </c>
      <c r="T2" s="1" t="s">
        <v>6</v>
      </c>
      <c r="U2" t="s">
        <v>513</v>
      </c>
      <c r="V2" s="1" t="s">
        <v>75</v>
      </c>
      <c r="W2" s="1" t="s">
        <v>14</v>
      </c>
      <c r="Y2" t="s">
        <v>7</v>
      </c>
      <c r="Z2" t="s">
        <v>6</v>
      </c>
      <c r="AA2" t="s">
        <v>513</v>
      </c>
      <c r="AB2" s="1" t="s">
        <v>75</v>
      </c>
      <c r="AC2" s="1" t="s">
        <v>14</v>
      </c>
      <c r="AD2" s="1"/>
      <c r="AE2" t="s">
        <v>5</v>
      </c>
      <c r="AF2" t="s">
        <v>14</v>
      </c>
      <c r="AG2" s="1" t="s">
        <v>105</v>
      </c>
      <c r="AH2" s="1" t="s">
        <v>75</v>
      </c>
      <c r="AI2" s="1" t="s">
        <v>636</v>
      </c>
    </row>
    <row r="3" spans="1:35" x14ac:dyDescent="0.25">
      <c r="A3">
        <v>0</v>
      </c>
      <c r="B3">
        <f>COUNTIFS(Graphes[FC_Temps],"&lt;="&amp;$A3,Graphes[FC_Solution],"&lt;&gt;0")</f>
        <v>2</v>
      </c>
      <c r="C3">
        <f>COUNTIFS(Graphes[FC_AC_Temps],"&lt;="&amp;$A3,Graphes[FC_AC_Solution],"&lt;&gt;0")</f>
        <v>1</v>
      </c>
      <c r="D3">
        <f>COUNTIFS(Graphes[FC_AC_30_Temps],"&lt;="&amp;$A3,Graphes[FC_AC_30_Solution],"&lt;&gt;0")</f>
        <v>0</v>
      </c>
      <c r="E3">
        <f>COUNTIFS(Graphes[DS_Temps],"&lt;="&amp;$A3,Graphes[DS_Solution],"&lt;&gt;0")</f>
        <v>0</v>
      </c>
      <c r="G3" t="s">
        <v>98</v>
      </c>
      <c r="H3">
        <f>COUNTIFS(Graphes[FC_dist_opt],"&lt;=0,0001",Graphes[FC_dist_opt],"&gt;=0")</f>
        <v>24</v>
      </c>
      <c r="I3">
        <f>COUNTIFS(Graphes[FC_AC_30_dist_opt],"&lt;=0,0001",Graphes[FC_AC_30_dist_opt],"&gt;=0")</f>
        <v>30</v>
      </c>
      <c r="J3">
        <f>COUNTIFS(Graphes[DS_dist_opt],"&lt;=0,0001",Graphes[DS_dist_opt],"&gt;=0")</f>
        <v>24</v>
      </c>
      <c r="L3" t="s">
        <v>50</v>
      </c>
      <c r="M3" s="5">
        <f>IF(VLOOKUP($L3,Graphes[],41,FALSE)&gt;=0,VLOOKUP($L3,Graphes[],41,FALSE),"non résolu")</f>
        <v>0</v>
      </c>
      <c r="N3" s="5">
        <f>IF(VLOOKUP($L3,Graphes[],33,FALSE)&gt;=0,VLOOKUP($L3,Graphes[],33,FALSE),"non résolu")</f>
        <v>0</v>
      </c>
      <c r="O3" s="5">
        <f>IF(VLOOKUP($L3,Graphes[],25,FALSE)&gt;=0,VLOOKUP($L3,Graphes[],25,FALSE),"non résolu")</f>
        <v>0</v>
      </c>
      <c r="P3" s="5">
        <f>IF(VLOOKUP($L3,Graphes[],9,FALSE)&gt;=0,VLOOKUP($L3,Graphes[],9,FALSE),"non résolu")</f>
        <v>0</v>
      </c>
      <c r="R3" t="s">
        <v>50</v>
      </c>
      <c r="S3">
        <f>VLOOKUP($R3,Graphes[],5,FALSE)*VLOOKUP($R3,Graphes[],7,FALSE)*VLOOKUP($R3,Graphes[],7,FALSE)</f>
        <v>4</v>
      </c>
      <c r="T3" s="6">
        <f>IF(VLOOKUP($R3,Graphes[],40,FALSE)&gt;0,VLOOKUP($R3,Graphes[],42,FALSE),"non")</f>
        <v>0</v>
      </c>
      <c r="U3" s="6">
        <f>IF(VLOOKUP($R3,Graphes[],32,FALSE)&gt;0,VLOOKUP($R3,Graphes[],34,FALSE),"non")</f>
        <v>0</v>
      </c>
      <c r="V3" s="6">
        <f>IF(VLOOKUP($R3,Graphes[],24,FALSE)&gt;0,VLOOKUP($R3,Graphes[],26,FALSE),"non")</f>
        <v>1.9993782043457001E-3</v>
      </c>
      <c r="W3" s="6">
        <f>IF(VLOOKUP($R3,Graphes[],8,FALSE)&gt;0,VLOOKUP($R3,Graphes[],10,FALSE),"non")</f>
        <v>9.9968910217285091E-4</v>
      </c>
      <c r="Y3" t="s">
        <v>50</v>
      </c>
      <c r="Z3">
        <f>VLOOKUP($Y3,Graphes[],43,FALSE)</f>
        <v>5</v>
      </c>
      <c r="AA3">
        <f>VLOOKUP($Y3,Graphes[],35,FALSE)</f>
        <v>3</v>
      </c>
      <c r="AB3">
        <f>VLOOKUP($Y3,Graphes[],27,FALSE)</f>
        <v>3</v>
      </c>
      <c r="AC3">
        <f>VLOOKUP($Y3,Graphes[],11,FALSE)</f>
        <v>5</v>
      </c>
      <c r="AE3">
        <v>0</v>
      </c>
      <c r="AF3">
        <f>COUNTIFS(Graphes[DS_Temps],"&lt;="&amp;$AE3,Graphes[DS_Temps],"&lt;&gt;0")</f>
        <v>0</v>
      </c>
      <c r="AG3">
        <f>COUNTIFS(Graphes[DS_sans_clique_Temps],"&lt;="&amp;$AE3,Graphes[DS_sans_clique_Temps],"&lt;&gt;0")</f>
        <v>0</v>
      </c>
      <c r="AH3">
        <f>COUNTIFS(Graphes[FC_AC_30_Temps],"&lt;="&amp;$AE3,Graphes[FC_AC_30_Temps],"&lt;&gt;0")</f>
        <v>0</v>
      </c>
      <c r="AI3">
        <f>COUNTIFS(Graphes[FC_AC_30_sans_clique_Temps],"&lt;="&amp;$AE3,Graphes[FC_AC_30_sans_clique_Temps],"&lt;&gt;0")</f>
        <v>0</v>
      </c>
    </row>
    <row r="4" spans="1:35" x14ac:dyDescent="0.25">
      <c r="A4">
        <v>0.1</v>
      </c>
      <c r="B4">
        <f>COUNTIFS(Graphes[FC_Temps],"&lt;="&amp;$A4,Graphes[FC_Solution],"&lt;&gt;0")</f>
        <v>17</v>
      </c>
      <c r="C4">
        <f>COUNTIFS(Graphes[FC_AC_Temps],"&lt;="&amp;$A4,Graphes[FC_AC_Solution],"&lt;&gt;0")</f>
        <v>8</v>
      </c>
      <c r="D4">
        <f>COUNTIFS(Graphes[FC_AC_30_Temps],"&lt;="&amp;$A4,Graphes[FC_AC_30_Solution],"&lt;&gt;0")</f>
        <v>13</v>
      </c>
      <c r="E4">
        <f>COUNTIFS(Graphes[DS_Temps],"&lt;="&amp;$A4,Graphes[DS_Solution],"&lt;&gt;0")</f>
        <v>16</v>
      </c>
      <c r="G4" t="s">
        <v>99</v>
      </c>
      <c r="H4">
        <f>COUNTIF(Graphes[FC_dist_opt],"&gt;0,0001")</f>
        <v>20</v>
      </c>
      <c r="I4">
        <f>COUNTIF(Graphes[FC_AC_30_dist_opt],"&gt;0,0001")</f>
        <v>13</v>
      </c>
      <c r="J4">
        <f>COUNTIF(Graphes[DS_dist_opt],"&gt;0,0001")</f>
        <v>20</v>
      </c>
      <c r="L4" t="s">
        <v>51</v>
      </c>
      <c r="M4" s="5">
        <f>IF(VLOOKUP($L4,Graphes[],41,FALSE)&gt;=0,VLOOKUP($L4,Graphes[],41,FALSE),"non résolu")</f>
        <v>0</v>
      </c>
      <c r="N4" s="5">
        <f>IF(VLOOKUP($L4,Graphes[],33,FALSE)&gt;=0,VLOOKUP($L4,Graphes[],33,FALSE),"non résolu")</f>
        <v>0</v>
      </c>
      <c r="O4" s="5">
        <f>IF(VLOOKUP($L4,Graphes[],25,FALSE)&gt;=0,VLOOKUP($L4,Graphes[],25,FALSE),"non résolu")</f>
        <v>0</v>
      </c>
      <c r="P4" s="5">
        <f>IF(VLOOKUP($L4,Graphes[],9,FALSE)&gt;=0,VLOOKUP($L4,Graphes[],9,FALSE),"non résolu")</f>
        <v>0</v>
      </c>
      <c r="R4" t="s">
        <v>51</v>
      </c>
      <c r="S4">
        <f>VLOOKUP($R4,Graphes[],5,FALSE)*VLOOKUP($R4,Graphes[],7,FALSE)*VLOOKUP($R4,Graphes[],7,FALSE)</f>
        <v>684</v>
      </c>
      <c r="T4" s="6">
        <f>IF(VLOOKUP($R4,Graphes[],40,FALSE)&gt;0,VLOOKUP($R4,Graphes[],42,FALSE),"non")</f>
        <v>0</v>
      </c>
      <c r="U4" s="6">
        <f>IF(VLOOKUP($R4,Graphes[],32,FALSE)&gt;0,VLOOKUP($R4,Graphes[],34,FALSE),"non")</f>
        <v>1.00064277648925E-3</v>
      </c>
      <c r="V4" s="6">
        <f>IF(VLOOKUP($R4,Graphes[],24,FALSE)&gt;0,VLOOKUP($R4,Graphes[],26,FALSE),"non")</f>
        <v>9.9945068359375E-4</v>
      </c>
      <c r="W4" s="6">
        <f>IF(VLOOKUP($R4,Graphes[],8,FALSE)&gt;0,VLOOKUP($R4,Graphes[],10,FALSE),"non")</f>
        <v>9.9897384643554601E-4</v>
      </c>
      <c r="Y4" t="s">
        <v>51</v>
      </c>
      <c r="Z4">
        <f>VLOOKUP($Y4,Graphes[],43,FALSE)</f>
        <v>16</v>
      </c>
      <c r="AA4">
        <f>VLOOKUP($Y4,Graphes[],35,FALSE)</f>
        <v>10</v>
      </c>
      <c r="AB4">
        <f>VLOOKUP($Y4,Graphes[],27,FALSE)</f>
        <v>10</v>
      </c>
      <c r="AC4">
        <f>VLOOKUP($Y4,Graphes[],11,FALSE)</f>
        <v>16</v>
      </c>
      <c r="AE4">
        <v>0.1</v>
      </c>
      <c r="AF4">
        <f>COUNTIFS(Graphes[DS_Temps],"&lt;="&amp;$AE4,Graphes[DS_Temps],"&lt;&gt;0")</f>
        <v>16</v>
      </c>
      <c r="AG4">
        <f>COUNTIFS(Graphes[DS_sans_clique_Temps],"&lt;="&amp;$AE4,Graphes[DS_sans_clique_Temps],"&lt;&gt;0")</f>
        <v>21</v>
      </c>
      <c r="AH4">
        <f>COUNTIFS(Graphes[FC_AC_30_Temps],"&lt;="&amp;$AE4,Graphes[FC_AC_30_Temps],"&lt;&gt;0")</f>
        <v>13</v>
      </c>
      <c r="AI4">
        <f>COUNTIFS(Graphes[FC_AC_30_sans_clique_Temps],"&lt;="&amp;$AE4,Graphes[FC_AC_30_sans_clique_Temps],"&lt;&gt;0")</f>
        <v>15</v>
      </c>
    </row>
    <row r="5" spans="1:35" x14ac:dyDescent="0.25">
      <c r="A5">
        <v>0.2</v>
      </c>
      <c r="B5">
        <f>COUNTIFS(Graphes[FC_Temps],"&lt;="&amp;$A5,Graphes[FC_Solution],"&lt;&gt;0")</f>
        <v>20</v>
      </c>
      <c r="C5">
        <f>COUNTIFS(Graphes[FC_AC_Temps],"&lt;="&amp;$A5,Graphes[FC_AC_Solution],"&lt;&gt;0")</f>
        <v>12</v>
      </c>
      <c r="D5">
        <f>COUNTIFS(Graphes[FC_AC_30_Temps],"&lt;="&amp;$A5,Graphes[FC_AC_30_Solution],"&lt;&gt;0")</f>
        <v>15</v>
      </c>
      <c r="E5">
        <f>COUNTIFS(Graphes[DS_Temps],"&lt;="&amp;$A5,Graphes[DS_Solution],"&lt;&gt;0")</f>
        <v>25</v>
      </c>
      <c r="G5" t="s">
        <v>103</v>
      </c>
      <c r="H5">
        <f>SUM(H3:H4)</f>
        <v>44</v>
      </c>
      <c r="I5">
        <f t="shared" ref="I5:J5" si="0">SUM(I3:I4)</f>
        <v>43</v>
      </c>
      <c r="J5">
        <f t="shared" si="0"/>
        <v>44</v>
      </c>
      <c r="L5" t="s">
        <v>52</v>
      </c>
      <c r="M5" s="5">
        <f>IF(VLOOKUP($L5,Graphes[],41,FALSE)&gt;=0,VLOOKUP($L5,Graphes[],41,FALSE),"non résolu")</f>
        <v>0</v>
      </c>
      <c r="N5" s="5">
        <f>IF(VLOOKUP($L5,Graphes[],33,FALSE)&gt;=0,VLOOKUP($L5,Graphes[],33,FALSE),"non résolu")</f>
        <v>0</v>
      </c>
      <c r="O5" s="5">
        <f>IF(VLOOKUP($L5,Graphes[],25,FALSE)&gt;=0,VLOOKUP($L5,Graphes[],25,FALSE),"non résolu")</f>
        <v>0</v>
      </c>
      <c r="P5" s="5">
        <f>IF(VLOOKUP($L5,Graphes[],9,FALSE)&gt;=0,VLOOKUP($L5,Graphes[],9,FALSE),"non résolu")</f>
        <v>0</v>
      </c>
      <c r="R5" t="s">
        <v>52</v>
      </c>
      <c r="S5">
        <f>VLOOKUP($R5,Graphes[],5,FALSE)*VLOOKUP($R5,Graphes[],7,FALSE)*VLOOKUP($R5,Graphes[],7,FALSE)</f>
        <v>10080</v>
      </c>
      <c r="T5" s="6">
        <f>IF(VLOOKUP($R5,Graphes[],40,FALSE)&gt;0,VLOOKUP($R5,Graphes[],42,FALSE),"non")</f>
        <v>1.9960403442382799E-3</v>
      </c>
      <c r="U5" s="6">
        <f>IF(VLOOKUP($R5,Graphes[],32,FALSE)&gt;0,VLOOKUP($R5,Graphes[],34,FALSE),"non")</f>
        <v>9.9954605102538993E-3</v>
      </c>
      <c r="V5" s="6">
        <f>IF(VLOOKUP($R5,Graphes[],24,FALSE)&gt;0,VLOOKUP($R5,Graphes[],26,FALSE),"non")</f>
        <v>2.9981136322021402E-3</v>
      </c>
      <c r="W5" s="6">
        <f>IF(VLOOKUP($R5,Graphes[],8,FALSE)&gt;0,VLOOKUP($R5,Graphes[],10,FALSE),"non")</f>
        <v>4.9967765808105399E-3</v>
      </c>
      <c r="Y5" t="s">
        <v>52</v>
      </c>
      <c r="Z5">
        <f>VLOOKUP($Y5,Graphes[],43,FALSE)</f>
        <v>30</v>
      </c>
      <c r="AA5">
        <f>VLOOKUP($Y5,Graphes[],35,FALSE)</f>
        <v>22</v>
      </c>
      <c r="AB5">
        <f>VLOOKUP($Y5,Graphes[],27,FALSE)</f>
        <v>22</v>
      </c>
      <c r="AC5">
        <f>VLOOKUP($Y5,Graphes[],11,FALSE)</f>
        <v>30</v>
      </c>
      <c r="AE5">
        <v>0.2</v>
      </c>
      <c r="AF5">
        <f>COUNTIFS(Graphes[DS_Temps],"&lt;="&amp;$AE5,Graphes[DS_Temps],"&lt;&gt;0")</f>
        <v>25</v>
      </c>
      <c r="AG5">
        <f>COUNTIFS(Graphes[DS_sans_clique_Temps],"&lt;="&amp;$AE5,Graphes[DS_sans_clique_Temps],"&lt;&gt;0")</f>
        <v>26</v>
      </c>
      <c r="AH5">
        <f>COUNTIFS(Graphes[FC_AC_30_Temps],"&lt;="&amp;$AE5,Graphes[FC_AC_30_Temps],"&lt;&gt;0")</f>
        <v>15</v>
      </c>
      <c r="AI5">
        <f>COUNTIFS(Graphes[FC_AC_30_sans_clique_Temps],"&lt;="&amp;$AE5,Graphes[FC_AC_30_sans_clique_Temps],"&lt;&gt;0")</f>
        <v>18</v>
      </c>
    </row>
    <row r="6" spans="1:35" x14ac:dyDescent="0.25">
      <c r="A6">
        <v>0.3</v>
      </c>
      <c r="B6">
        <f>COUNTIFS(Graphes[FC_Temps],"&lt;="&amp;$A6,Graphes[FC_Solution],"&lt;&gt;0")</f>
        <v>27</v>
      </c>
      <c r="C6">
        <f>COUNTIFS(Graphes[FC_AC_Temps],"&lt;="&amp;$A6,Graphes[FC_AC_Solution],"&lt;&gt;0")</f>
        <v>12</v>
      </c>
      <c r="D6">
        <f>COUNTIFS(Graphes[FC_AC_30_Temps],"&lt;="&amp;$A6,Graphes[FC_AC_30_Solution],"&lt;&gt;0")</f>
        <v>18</v>
      </c>
      <c r="E6">
        <f>COUNTIFS(Graphes[DS_Temps],"&lt;="&amp;$A6,Graphes[DS_Solution],"&lt;&gt;0")</f>
        <v>27</v>
      </c>
      <c r="L6" t="s">
        <v>61</v>
      </c>
      <c r="M6" s="5">
        <f>IF(VLOOKUP($L6,Graphes[],41,FALSE)&gt;=0,VLOOKUP($L6,Graphes[],41,FALSE),"non résolu")</f>
        <v>0.2</v>
      </c>
      <c r="N6" s="5">
        <f>IF(VLOOKUP($L6,Graphes[],33,FALSE)&gt;=0,VLOOKUP($L6,Graphes[],33,FALSE),"non résolu")</f>
        <v>0</v>
      </c>
      <c r="O6" s="5">
        <f>IF(VLOOKUP($L6,Graphes[],25,FALSE)&gt;=0,VLOOKUP($L6,Graphes[],25,FALSE),"non résolu")</f>
        <v>0</v>
      </c>
      <c r="P6" s="5">
        <f>IF(VLOOKUP($L6,Graphes[],9,FALSE)&gt;=0,VLOOKUP($L6,Graphes[],9,FALSE),"non résolu")</f>
        <v>0.2</v>
      </c>
      <c r="R6" t="s">
        <v>22</v>
      </c>
      <c r="S6">
        <f>VLOOKUP($R6,Graphes[],5,FALSE)*VLOOKUP($R6,Graphes[],7,FALSE)*VLOOKUP($R6,Graphes[],7,FALSE)</f>
        <v>14700</v>
      </c>
      <c r="T6" s="6">
        <f>IF(VLOOKUP($R6,Graphes[],40,FALSE)&gt;0,VLOOKUP($R6,Graphes[],42,FALSE),"non")</f>
        <v>4.1919469833374003E-2</v>
      </c>
      <c r="U6" s="6">
        <f>IF(VLOOKUP($R6,Graphes[],32,FALSE)&gt;0,VLOOKUP($R6,Graphes[],34,FALSE),"non")</f>
        <v>5.3398370742797803E-2</v>
      </c>
      <c r="V6" s="6">
        <f>IF(VLOOKUP($R6,Graphes[],24,FALSE)&gt;0,VLOOKUP($R6,Graphes[],26,FALSE),"non")</f>
        <v>3.7976026535034103E-2</v>
      </c>
      <c r="W6" s="6">
        <f>IF(VLOOKUP($R6,Graphes[],8,FALSE)&gt;0,VLOOKUP($R6,Graphes[],10,FALSE),"non")</f>
        <v>2.8444766998290998E-2</v>
      </c>
      <c r="Y6" t="s">
        <v>22</v>
      </c>
      <c r="Z6">
        <f>VLOOKUP($Y6,Graphes[],43,FALSE)</f>
        <v>127</v>
      </c>
      <c r="AA6">
        <f>VLOOKUP($Y6,Graphes[],35,FALSE)</f>
        <v>121</v>
      </c>
      <c r="AB6">
        <f>VLOOKUP($Y6,Graphes[],27,FALSE)</f>
        <v>121</v>
      </c>
      <c r="AC6">
        <f>VLOOKUP($Y6,Graphes[],11,FALSE)</f>
        <v>127</v>
      </c>
      <c r="AE6">
        <v>0.3</v>
      </c>
      <c r="AF6">
        <f>COUNTIFS(Graphes[DS_Temps],"&lt;="&amp;$AE6,Graphes[DS_Temps],"&lt;&gt;0")</f>
        <v>27</v>
      </c>
      <c r="AG6">
        <f>COUNTIFS(Graphes[DS_sans_clique_Temps],"&lt;="&amp;$AE6,Graphes[DS_sans_clique_Temps],"&lt;&gt;0")</f>
        <v>30</v>
      </c>
      <c r="AH6">
        <f>COUNTIFS(Graphes[FC_AC_30_Temps],"&lt;="&amp;$AE6,Graphes[FC_AC_30_Temps],"&lt;&gt;0")</f>
        <v>18</v>
      </c>
      <c r="AI6">
        <f>COUNTIFS(Graphes[FC_AC_30_sans_clique_Temps],"&lt;="&amp;$AE6,Graphes[FC_AC_30_sans_clique_Temps],"&lt;&gt;0")</f>
        <v>23</v>
      </c>
    </row>
    <row r="7" spans="1:35" x14ac:dyDescent="0.25">
      <c r="A7">
        <v>0.4</v>
      </c>
      <c r="B7">
        <f>COUNTIFS(Graphes[FC_Temps],"&lt;="&amp;$A7,Graphes[FC_Solution],"&lt;&gt;0")</f>
        <v>28</v>
      </c>
      <c r="C7">
        <f>COUNTIFS(Graphes[FC_AC_Temps],"&lt;="&amp;$A7,Graphes[FC_AC_Solution],"&lt;&gt;0")</f>
        <v>15</v>
      </c>
      <c r="D7">
        <f>COUNTIFS(Graphes[FC_AC_30_Temps],"&lt;="&amp;$A7,Graphes[FC_AC_30_Solution],"&lt;&gt;0")</f>
        <v>22</v>
      </c>
      <c r="E7">
        <f>COUNTIFS(Graphes[DS_Temps],"&lt;="&amp;$A7,Graphes[DS_Solution],"&lt;&gt;0")</f>
        <v>29</v>
      </c>
      <c r="L7" t="s">
        <v>53</v>
      </c>
      <c r="M7" s="5">
        <f>IF(VLOOKUP($L7,Graphes[],41,FALSE)&gt;=0,VLOOKUP($L7,Graphes[],41,FALSE),"non résolu")</f>
        <v>0</v>
      </c>
      <c r="N7" s="5">
        <f>IF(VLOOKUP($L7,Graphes[],33,FALSE)&gt;=0,VLOOKUP($L7,Graphes[],33,FALSE),"non résolu")</f>
        <v>0</v>
      </c>
      <c r="O7" s="5">
        <f>IF(VLOOKUP($L7,Graphes[],25,FALSE)&gt;=0,VLOOKUP($L7,Graphes[],25,FALSE),"non résolu")</f>
        <v>0</v>
      </c>
      <c r="P7" s="5">
        <f>IF(VLOOKUP($L7,Graphes[],9,FALSE)&gt;=0,VLOOKUP($L7,Graphes[],9,FALSE),"non résolu")</f>
        <v>0</v>
      </c>
      <c r="R7" t="s">
        <v>61</v>
      </c>
      <c r="S7">
        <f>VLOOKUP($R7,Graphes[],5,FALSE)*VLOOKUP($R7,Graphes[],7,FALSE)*VLOOKUP($R7,Graphes[],7,FALSE)</f>
        <v>86700</v>
      </c>
      <c r="T7" s="6">
        <f>IF(VLOOKUP($R7,Graphes[],40,FALSE)&gt;0,VLOOKUP($R7,Graphes[],42,FALSE),"non")</f>
        <v>3.9992332458495998E-3</v>
      </c>
      <c r="U7" s="6">
        <f>IF(VLOOKUP($R7,Graphes[],32,FALSE)&gt;0,VLOOKUP($R7,Graphes[],34,FALSE),"non")</f>
        <v>3.0981540679931599E-2</v>
      </c>
      <c r="V7" s="6">
        <f>IF(VLOOKUP($R7,Graphes[],24,FALSE)&gt;0,VLOOKUP($R7,Graphes[],26,FALSE),"non")</f>
        <v>1.7184972763061499E-2</v>
      </c>
      <c r="W7" s="6">
        <f>IF(VLOOKUP($R7,Graphes[],8,FALSE)&gt;0,VLOOKUP($R7,Graphes[],10,FALSE),"non")</f>
        <v>2.9973983764648398E-3</v>
      </c>
      <c r="Y7" t="s">
        <v>61</v>
      </c>
      <c r="Z7">
        <f>VLOOKUP($Y7,Graphes[],43,FALSE)</f>
        <v>29</v>
      </c>
      <c r="AA7">
        <f>VLOOKUP($Y7,Graphes[],35,FALSE)</f>
        <v>21</v>
      </c>
      <c r="AB7">
        <f>VLOOKUP($Y7,Graphes[],27,FALSE)</f>
        <v>21</v>
      </c>
      <c r="AC7">
        <f>VLOOKUP($Y7,Graphes[],11,FALSE)</f>
        <v>29</v>
      </c>
      <c r="AE7">
        <v>0.4</v>
      </c>
      <c r="AF7">
        <f>COUNTIFS(Graphes[DS_Temps],"&lt;="&amp;$AE7,Graphes[DS_Temps],"&lt;&gt;0")</f>
        <v>29</v>
      </c>
      <c r="AG7">
        <f>COUNTIFS(Graphes[DS_sans_clique_Temps],"&lt;="&amp;$AE7,Graphes[DS_sans_clique_Temps],"&lt;&gt;0")</f>
        <v>35</v>
      </c>
      <c r="AH7">
        <f>COUNTIFS(Graphes[FC_AC_30_Temps],"&lt;="&amp;$AE7,Graphes[FC_AC_30_Temps],"&lt;&gt;0")</f>
        <v>22</v>
      </c>
      <c r="AI7">
        <f>COUNTIFS(Graphes[FC_AC_30_sans_clique_Temps],"&lt;="&amp;$AE7,Graphes[FC_AC_30_sans_clique_Temps],"&lt;&gt;0")</f>
        <v>24</v>
      </c>
    </row>
    <row r="8" spans="1:35" x14ac:dyDescent="0.25">
      <c r="A8">
        <v>0.5</v>
      </c>
      <c r="B8">
        <f>COUNTIFS(Graphes[FC_Temps],"&lt;="&amp;$A8,Graphes[FC_Solution],"&lt;&gt;0")</f>
        <v>29</v>
      </c>
      <c r="C8">
        <f>COUNTIFS(Graphes[FC_AC_Temps],"&lt;="&amp;$A8,Graphes[FC_AC_Solution],"&lt;&gt;0")</f>
        <v>15</v>
      </c>
      <c r="D8">
        <f>COUNTIFS(Graphes[FC_AC_30_Temps],"&lt;="&amp;$A8,Graphes[FC_AC_30_Solution],"&lt;&gt;0")</f>
        <v>23</v>
      </c>
      <c r="E8">
        <f>COUNTIFS(Graphes[DS_Temps],"&lt;="&amp;$A8,Graphes[DS_Solution],"&lt;&gt;0")</f>
        <v>31</v>
      </c>
      <c r="L8" t="s">
        <v>42</v>
      </c>
      <c r="M8" s="5">
        <f>IF(VLOOKUP($L8,Graphes[],41,FALSE)&gt;=0,VLOOKUP($L8,Graphes[],41,FALSE),"non résolu")</f>
        <v>0</v>
      </c>
      <c r="N8" s="5">
        <f>IF(VLOOKUP($L8,Graphes[],33,FALSE)&gt;=0,VLOOKUP($L8,Graphes[],33,FALSE),"non résolu")</f>
        <v>0</v>
      </c>
      <c r="O8" s="5">
        <f>IF(VLOOKUP($L8,Graphes[],25,FALSE)&gt;=0,VLOOKUP($L8,Graphes[],25,FALSE),"non résolu")</f>
        <v>0</v>
      </c>
      <c r="P8" s="5">
        <f>IF(VLOOKUP($L8,Graphes[],9,FALSE)&gt;=0,VLOOKUP($L8,Graphes[],9,FALSE),"non résolu")</f>
        <v>0</v>
      </c>
      <c r="R8" t="s">
        <v>53</v>
      </c>
      <c r="S8">
        <f>VLOOKUP($R8,Graphes[],5,FALSE)*VLOOKUP($R8,Graphes[],7,FALSE)*VLOOKUP($R8,Graphes[],7,FALSE)</f>
        <v>135360</v>
      </c>
      <c r="T8" s="6">
        <f>IF(VLOOKUP($R8,Graphes[],40,FALSE)&gt;0,VLOOKUP($R8,Graphes[],42,FALSE),"non")</f>
        <v>9.9942684173583898E-3</v>
      </c>
      <c r="U8" s="6">
        <f>IF(VLOOKUP($R8,Graphes[],32,FALSE)&gt;0,VLOOKUP($R8,Graphes[],34,FALSE),"non")</f>
        <v>6.4959287643432603E-2</v>
      </c>
      <c r="V8" s="6">
        <f>IF(VLOOKUP($R8,Graphes[],24,FALSE)&gt;0,VLOOKUP($R8,Graphes[],26,FALSE),"non")</f>
        <v>1.7988204956054601E-2</v>
      </c>
      <c r="W8" s="6">
        <f>IF(VLOOKUP($R8,Graphes[],8,FALSE)&gt;0,VLOOKUP($R8,Graphes[],10,FALSE),"non")</f>
        <v>1.8990039825439401E-2</v>
      </c>
      <c r="Y8" t="s">
        <v>53</v>
      </c>
      <c r="Z8">
        <f>VLOOKUP($Y8,Graphes[],43,FALSE)</f>
        <v>70</v>
      </c>
      <c r="AA8">
        <f>VLOOKUP($Y8,Graphes[],35,FALSE)</f>
        <v>46</v>
      </c>
      <c r="AB8">
        <f>VLOOKUP($Y8,Graphes[],27,FALSE)</f>
        <v>46</v>
      </c>
      <c r="AC8">
        <f>VLOOKUP($Y8,Graphes[],11,FALSE)</f>
        <v>70</v>
      </c>
      <c r="AE8">
        <v>0.5</v>
      </c>
      <c r="AF8">
        <f>COUNTIFS(Graphes[DS_Temps],"&lt;="&amp;$AE8,Graphes[DS_Temps],"&lt;&gt;0")</f>
        <v>31</v>
      </c>
      <c r="AG8">
        <f>COUNTIFS(Graphes[DS_sans_clique_Temps],"&lt;="&amp;$AE8,Graphes[DS_sans_clique_Temps],"&lt;&gt;0")</f>
        <v>39</v>
      </c>
      <c r="AH8">
        <f>COUNTIFS(Graphes[FC_AC_30_Temps],"&lt;="&amp;$AE8,Graphes[FC_AC_30_Temps],"&lt;&gt;0")</f>
        <v>23</v>
      </c>
      <c r="AI8">
        <f>COUNTIFS(Graphes[FC_AC_30_sans_clique_Temps],"&lt;="&amp;$AE8,Graphes[FC_AC_30_sans_clique_Temps],"&lt;&gt;0")</f>
        <v>24</v>
      </c>
    </row>
    <row r="9" spans="1:35" x14ac:dyDescent="0.25">
      <c r="A9">
        <v>0.6</v>
      </c>
      <c r="B9">
        <f>COUNTIFS(Graphes[FC_Temps],"&lt;="&amp;$A9,Graphes[FC_Solution],"&lt;&gt;0")</f>
        <v>30</v>
      </c>
      <c r="C9">
        <f>COUNTIFS(Graphes[FC_AC_Temps],"&lt;="&amp;$A9,Graphes[FC_AC_Solution],"&lt;&gt;0")</f>
        <v>16</v>
      </c>
      <c r="D9">
        <f>COUNTIFS(Graphes[FC_AC_30_Temps],"&lt;="&amp;$A9,Graphes[FC_AC_30_Solution],"&lt;&gt;0")</f>
        <v>23</v>
      </c>
      <c r="E9">
        <f>COUNTIFS(Graphes[DS_Temps],"&lt;="&amp;$A9,Graphes[DS_Solution],"&lt;&gt;0")</f>
        <v>32</v>
      </c>
      <c r="L9" t="s">
        <v>62</v>
      </c>
      <c r="M9" s="5">
        <f>IF(VLOOKUP($L9,Graphes[],41,FALSE)&gt;=0,VLOOKUP($L9,Graphes[],41,FALSE),"non résolu")</f>
        <v>0.5</v>
      </c>
      <c r="N9" s="5">
        <f>IF(VLOOKUP($L9,Graphes[],33,FALSE)&gt;=0,VLOOKUP($L9,Graphes[],33,FALSE),"non résolu")</f>
        <v>0.5</v>
      </c>
      <c r="O9" s="5">
        <f>IF(VLOOKUP($L9,Graphes[],25,FALSE)&gt;=0,VLOOKUP($L9,Graphes[],25,FALSE),"non résolu")</f>
        <v>0.5</v>
      </c>
      <c r="P9" s="5">
        <f>IF(VLOOKUP($L9,Graphes[],9,FALSE)&gt;=0,VLOOKUP($L9,Graphes[],9,FALSE),"non résolu")</f>
        <v>0.5</v>
      </c>
      <c r="R9" t="s">
        <v>42</v>
      </c>
      <c r="S9">
        <f>VLOOKUP($R9,Graphes[],5,FALSE)*VLOOKUP($R9,Graphes[],7,FALSE)*VLOOKUP($R9,Graphes[],7,FALSE)</f>
        <v>215016</v>
      </c>
      <c r="T9" s="6">
        <f>IF(VLOOKUP($R9,Graphes[],40,FALSE)&gt;0,VLOOKUP($R9,Graphes[],42,FALSE),"non")</f>
        <v>3.7928104400634703E-2</v>
      </c>
      <c r="U9" s="6">
        <f>IF(VLOOKUP($R9,Graphes[],32,FALSE)&gt;0,VLOOKUP($R9,Graphes[],34,FALSE),"non")</f>
        <v>9.3323707580566406E-2</v>
      </c>
      <c r="V9" s="6">
        <f>IF(VLOOKUP($R9,Graphes[],24,FALSE)&gt;0,VLOOKUP($R9,Graphes[],26,FALSE),"non")</f>
        <v>6.8957567214965806E-2</v>
      </c>
      <c r="W9" s="6">
        <f>IF(VLOOKUP($R9,Graphes[],8,FALSE)&gt;0,VLOOKUP($R9,Graphes[],10,FALSE),"non")</f>
        <v>3.7428855895995997E-2</v>
      </c>
      <c r="Y9" t="s">
        <v>42</v>
      </c>
      <c r="Z9">
        <f>VLOOKUP($Y9,Graphes[],43,FALSE)</f>
        <v>155</v>
      </c>
      <c r="AA9">
        <f>VLOOKUP($Y9,Graphes[],35,FALSE)</f>
        <v>123</v>
      </c>
      <c r="AB9">
        <f>VLOOKUP($Y9,Graphes[],27,FALSE)</f>
        <v>123</v>
      </c>
      <c r="AC9">
        <f>VLOOKUP($Y9,Graphes[],11,FALSE)</f>
        <v>155</v>
      </c>
      <c r="AE9">
        <v>0.6</v>
      </c>
      <c r="AF9">
        <f>COUNTIFS(Graphes[DS_Temps],"&lt;="&amp;$AE9,Graphes[DS_Temps],"&lt;&gt;0")</f>
        <v>32</v>
      </c>
      <c r="AG9">
        <f>COUNTIFS(Graphes[DS_sans_clique_Temps],"&lt;="&amp;$AE9,Graphes[DS_sans_clique_Temps],"&lt;&gt;0")</f>
        <v>39</v>
      </c>
      <c r="AH9">
        <f>COUNTIFS(Graphes[FC_AC_30_Temps],"&lt;="&amp;$AE9,Graphes[FC_AC_30_Temps],"&lt;&gt;0")</f>
        <v>23</v>
      </c>
      <c r="AI9">
        <f>COUNTIFS(Graphes[FC_AC_30_sans_clique_Temps],"&lt;="&amp;$AE9,Graphes[FC_AC_30_sans_clique_Temps],"&lt;&gt;0")</f>
        <v>25</v>
      </c>
    </row>
    <row r="10" spans="1:35" x14ac:dyDescent="0.25">
      <c r="A10">
        <v>0.7</v>
      </c>
      <c r="B10">
        <f>COUNTIFS(Graphes[FC_Temps],"&lt;="&amp;$A10,Graphes[FC_Solution],"&lt;&gt;0")</f>
        <v>33</v>
      </c>
      <c r="C10">
        <f>COUNTIFS(Graphes[FC_AC_Temps],"&lt;="&amp;$A10,Graphes[FC_AC_Solution],"&lt;&gt;0")</f>
        <v>16</v>
      </c>
      <c r="D10">
        <f>COUNTIFS(Graphes[FC_AC_30_Temps],"&lt;="&amp;$A10,Graphes[FC_AC_30_Solution],"&lt;&gt;0")</f>
        <v>24</v>
      </c>
      <c r="E10">
        <f>COUNTIFS(Graphes[DS_Temps],"&lt;="&amp;$A10,Graphes[DS_Solution],"&lt;&gt;0")</f>
        <v>36</v>
      </c>
      <c r="L10" t="s">
        <v>30</v>
      </c>
      <c r="M10" s="5">
        <f>IF(VLOOKUP($L10,Graphes[],41,FALSE)&gt;=0,VLOOKUP($L10,Graphes[],41,FALSE),"non résolu")</f>
        <v>0</v>
      </c>
      <c r="N10" s="5">
        <f>IF(VLOOKUP($L10,Graphes[],33,FALSE)&gt;=0,VLOOKUP($L10,Graphes[],33,FALSE),"non résolu")</f>
        <v>0</v>
      </c>
      <c r="O10" s="5">
        <f>IF(VLOOKUP($L10,Graphes[],25,FALSE)&gt;=0,VLOOKUP($L10,Graphes[],25,FALSE),"non résolu")</f>
        <v>0</v>
      </c>
      <c r="P10" s="5">
        <f>IF(VLOOKUP($L10,Graphes[],9,FALSE)&gt;=0,VLOOKUP($L10,Graphes[],9,FALSE),"non résolu")</f>
        <v>0</v>
      </c>
      <c r="R10" t="s">
        <v>62</v>
      </c>
      <c r="S10">
        <f>VLOOKUP($R10,Graphes[],5,FALSE)*VLOOKUP($R10,Graphes[],7,FALSE)*VLOOKUP($R10,Graphes[],7,FALSE)</f>
        <v>220000</v>
      </c>
      <c r="T10" s="6">
        <f>IF(VLOOKUP($R10,Graphes[],40,FALSE)&gt;0,VLOOKUP($R10,Graphes[],42,FALSE),"non")</f>
        <v>4.9970149993896398E-3</v>
      </c>
      <c r="U10" s="6">
        <f>IF(VLOOKUP($R10,Graphes[],32,FALSE)&gt;0,VLOOKUP($R10,Graphes[],34,FALSE),"non")</f>
        <v>9.0943813323974595E-2</v>
      </c>
      <c r="V10" s="6">
        <f>IF(VLOOKUP($R10,Graphes[],24,FALSE)&gt;0,VLOOKUP($R10,Graphes[],26,FALSE),"non")</f>
        <v>3.4977197647094699E-2</v>
      </c>
      <c r="W10" s="6">
        <f>IF(VLOOKUP($R10,Graphes[],8,FALSE)&gt;0,VLOOKUP($R10,Graphes[],10,FALSE),"non")</f>
        <v>4.9946308135986302E-3</v>
      </c>
      <c r="Y10" t="s">
        <v>62</v>
      </c>
      <c r="Z10">
        <f>VLOOKUP($Y10,Graphes[],43,FALSE)</f>
        <v>51</v>
      </c>
      <c r="AA10">
        <f>VLOOKUP($Y10,Graphes[],35,FALSE)</f>
        <v>31</v>
      </c>
      <c r="AB10">
        <f>VLOOKUP($Y10,Graphes[],27,FALSE)</f>
        <v>31</v>
      </c>
      <c r="AC10">
        <f>VLOOKUP($Y10,Graphes[],11,FALSE)</f>
        <v>51</v>
      </c>
      <c r="AE10">
        <v>0.7</v>
      </c>
      <c r="AF10">
        <f>COUNTIFS(Graphes[DS_Temps],"&lt;="&amp;$AE10,Graphes[DS_Temps],"&lt;&gt;0")</f>
        <v>36</v>
      </c>
      <c r="AG10">
        <f>COUNTIFS(Graphes[DS_sans_clique_Temps],"&lt;="&amp;$AE10,Graphes[DS_sans_clique_Temps],"&lt;&gt;0")</f>
        <v>40</v>
      </c>
      <c r="AH10">
        <f>COUNTIFS(Graphes[FC_AC_30_Temps],"&lt;="&amp;$AE10,Graphes[FC_AC_30_Temps],"&lt;&gt;0")</f>
        <v>24</v>
      </c>
      <c r="AI10">
        <f>COUNTIFS(Graphes[FC_AC_30_sans_clique_Temps],"&lt;="&amp;$AE10,Graphes[FC_AC_30_sans_clique_Temps],"&lt;&gt;0")</f>
        <v>25</v>
      </c>
    </row>
    <row r="11" spans="1:35" x14ac:dyDescent="0.25">
      <c r="A11">
        <v>0.8</v>
      </c>
      <c r="B11">
        <f>COUNTIFS(Graphes[FC_Temps],"&lt;="&amp;$A11,Graphes[FC_Solution],"&lt;&gt;0")</f>
        <v>37</v>
      </c>
      <c r="C11">
        <f>COUNTIFS(Graphes[FC_AC_Temps],"&lt;="&amp;$A11,Graphes[FC_AC_Solution],"&lt;&gt;0")</f>
        <v>17</v>
      </c>
      <c r="D11">
        <f>COUNTIFS(Graphes[FC_AC_30_Temps],"&lt;="&amp;$A11,Graphes[FC_AC_30_Solution],"&lt;&gt;0")</f>
        <v>25</v>
      </c>
      <c r="E11">
        <f>COUNTIFS(Graphes[DS_Temps],"&lt;="&amp;$A11,Graphes[DS_Solution],"&lt;&gt;0")</f>
        <v>41</v>
      </c>
      <c r="L11" t="s">
        <v>33</v>
      </c>
      <c r="M11" s="5">
        <f>IF(VLOOKUP($L11,Graphes[],41,FALSE)&gt;=0,VLOOKUP($L11,Graphes[],41,FALSE),"non résolu")</f>
        <v>0.1</v>
      </c>
      <c r="N11" s="5">
        <f>IF(VLOOKUP($L11,Graphes[],33,FALSE)&gt;=0,VLOOKUP($L11,Graphes[],33,FALSE),"non résolu")</f>
        <v>0</v>
      </c>
      <c r="O11" s="5">
        <f>IF(VLOOKUP($L11,Graphes[],25,FALSE)&gt;=0,VLOOKUP($L11,Graphes[],25,FALSE),"non résolu")</f>
        <v>0</v>
      </c>
      <c r="P11" s="5">
        <f>IF(VLOOKUP($L11,Graphes[],9,FALSE)&gt;=0,VLOOKUP($L11,Graphes[],9,FALSE),"non résolu")</f>
        <v>0.1</v>
      </c>
      <c r="R11" t="s">
        <v>30</v>
      </c>
      <c r="S11">
        <f>VLOOKUP($R11,Graphes[],5,FALSE)*VLOOKUP($R11,Graphes[],7,FALSE)*VLOOKUP($R11,Graphes[],7,FALSE)</f>
        <v>235984</v>
      </c>
      <c r="T11" s="6">
        <f>IF(VLOOKUP($R11,Graphes[],40,FALSE)&gt;0,VLOOKUP($R11,Graphes[],42,FALSE),"non")</f>
        <v>3.19387912750244E-2</v>
      </c>
      <c r="U11" s="6">
        <f>IF(VLOOKUP($R11,Graphes[],32,FALSE)&gt;0,VLOOKUP($R11,Graphes[],34,FALSE),"non")</f>
        <v>0.14222955703735299</v>
      </c>
      <c r="V11" s="6">
        <f>IF(VLOOKUP($R11,Graphes[],24,FALSE)&gt;0,VLOOKUP($R11,Graphes[],26,FALSE),"non")</f>
        <v>5.6964874267578097E-2</v>
      </c>
      <c r="W11" s="6">
        <f>IF(VLOOKUP($R11,Graphes[],8,FALSE)&gt;0,VLOOKUP($R11,Graphes[],10,FALSE),"non")</f>
        <v>3.49347591400146E-2</v>
      </c>
      <c r="Y11" t="s">
        <v>30</v>
      </c>
      <c r="Z11">
        <f>VLOOKUP($Y11,Graphes[],43,FALSE)</f>
        <v>122</v>
      </c>
      <c r="AA11">
        <f>VLOOKUP($Y11,Graphes[],35,FALSE)</f>
        <v>112</v>
      </c>
      <c r="AB11">
        <f>VLOOKUP($Y11,Graphes[],27,FALSE)</f>
        <v>112</v>
      </c>
      <c r="AC11">
        <f>VLOOKUP($Y11,Graphes[],11,FALSE)</f>
        <v>122</v>
      </c>
      <c r="AE11">
        <v>0.8</v>
      </c>
      <c r="AF11">
        <f>COUNTIFS(Graphes[DS_Temps],"&lt;="&amp;$AE11,Graphes[DS_Temps],"&lt;&gt;0")</f>
        <v>41</v>
      </c>
      <c r="AG11">
        <f>COUNTIFS(Graphes[DS_sans_clique_Temps],"&lt;="&amp;$AE11,Graphes[DS_sans_clique_Temps],"&lt;&gt;0")</f>
        <v>40</v>
      </c>
      <c r="AH11">
        <f>COUNTIFS(Graphes[FC_AC_30_Temps],"&lt;="&amp;$AE11,Graphes[FC_AC_30_Temps],"&lt;&gt;0")</f>
        <v>25</v>
      </c>
      <c r="AI11">
        <f>COUNTIFS(Graphes[FC_AC_30_sans_clique_Temps],"&lt;="&amp;$AE11,Graphes[FC_AC_30_sans_clique_Temps],"&lt;&gt;0")</f>
        <v>25</v>
      </c>
    </row>
    <row r="12" spans="1:35" x14ac:dyDescent="0.25">
      <c r="A12">
        <v>0.9</v>
      </c>
      <c r="B12">
        <f>COUNTIFS(Graphes[FC_Temps],"&lt;="&amp;$A12,Graphes[FC_Solution],"&lt;&gt;0")</f>
        <v>37</v>
      </c>
      <c r="C12">
        <f>COUNTIFS(Graphes[FC_AC_Temps],"&lt;="&amp;$A12,Graphes[FC_AC_Solution],"&lt;&gt;0")</f>
        <v>17</v>
      </c>
      <c r="D12">
        <f>COUNTIFS(Graphes[FC_AC_30_Temps],"&lt;="&amp;$A12,Graphes[FC_AC_30_Solution],"&lt;&gt;0")</f>
        <v>27</v>
      </c>
      <c r="E12">
        <f>COUNTIFS(Graphes[DS_Temps],"&lt;="&amp;$A12,Graphes[DS_Solution],"&lt;&gt;0")</f>
        <v>41</v>
      </c>
      <c r="L12" t="s">
        <v>63</v>
      </c>
      <c r="M12" s="5">
        <f>IF(VLOOKUP($L12,Graphes[],41,FALSE)&gt;=0,VLOOKUP($L12,Graphes[],41,FALSE),"non résolu")</f>
        <v>0.42857142857142855</v>
      </c>
      <c r="N12" s="5">
        <f>IF(VLOOKUP($L12,Graphes[],33,FALSE)&gt;=0,VLOOKUP($L12,Graphes[],33,FALSE),"non résolu")</f>
        <v>0.42857142857142855</v>
      </c>
      <c r="O12" s="5">
        <f>IF(VLOOKUP($L12,Graphes[],25,FALSE)&gt;=0,VLOOKUP($L12,Graphes[],25,FALSE),"non résolu")</f>
        <v>0.42857142857142855</v>
      </c>
      <c r="P12" s="5">
        <f>IF(VLOOKUP($L12,Graphes[],9,FALSE)&gt;=0,VLOOKUP($L12,Graphes[],9,FALSE),"non résolu")</f>
        <v>0.42857142857142855</v>
      </c>
      <c r="R12" t="s">
        <v>19</v>
      </c>
      <c r="S12">
        <f>VLOOKUP($R12,Graphes[],5,FALSE)*VLOOKUP($R12,Graphes[],7,FALSE)*VLOOKUP($R12,Graphes[],7,FALSE)</f>
        <v>385264</v>
      </c>
      <c r="T12" s="6">
        <f>IF(VLOOKUP($R12,Graphes[],40,FALSE)&gt;0,VLOOKUP($R12,Graphes[],42,FALSE),"non")</f>
        <v>4.4969487190246502</v>
      </c>
      <c r="U12" s="6">
        <f>IF(VLOOKUP($R12,Graphes[],32,FALSE)&gt;0,VLOOKUP($R12,Graphes[],34,FALSE),"non")</f>
        <v>4.0952160358428902</v>
      </c>
      <c r="V12" s="6">
        <f>IF(VLOOKUP($R12,Graphes[],24,FALSE)&gt;0,VLOOKUP($R12,Graphes[],26,FALSE),"non")</f>
        <v>3.2578611373901301</v>
      </c>
      <c r="W12" s="6">
        <f>IF(VLOOKUP($R12,Graphes[],8,FALSE)&gt;0,VLOOKUP($R12,Graphes[],10,FALSE),"non")</f>
        <v>2.51272416114807</v>
      </c>
      <c r="Y12" t="s">
        <v>19</v>
      </c>
      <c r="Z12">
        <f>VLOOKUP($Y12,Graphes[],43,FALSE)</f>
        <v>1016</v>
      </c>
      <c r="AA12">
        <f>VLOOKUP($Y12,Graphes[],35,FALSE)</f>
        <v>998</v>
      </c>
      <c r="AB12">
        <f>VLOOKUP($Y12,Graphes[],27,FALSE)</f>
        <v>998</v>
      </c>
      <c r="AC12">
        <f>VLOOKUP($Y12,Graphes[],11,FALSE)</f>
        <v>1016</v>
      </c>
      <c r="AE12">
        <v>0.9</v>
      </c>
      <c r="AF12">
        <f>COUNTIFS(Graphes[DS_Temps],"&lt;="&amp;$AE12,Graphes[DS_Temps],"&lt;&gt;0")</f>
        <v>41</v>
      </c>
      <c r="AG12">
        <f>COUNTIFS(Graphes[DS_sans_clique_Temps],"&lt;="&amp;$AE12,Graphes[DS_sans_clique_Temps],"&lt;&gt;0")</f>
        <v>42</v>
      </c>
      <c r="AH12">
        <f>COUNTIFS(Graphes[FC_AC_30_Temps],"&lt;="&amp;$AE12,Graphes[FC_AC_30_Temps],"&lt;&gt;0")</f>
        <v>27</v>
      </c>
      <c r="AI12">
        <f>COUNTIFS(Graphes[FC_AC_30_sans_clique_Temps],"&lt;="&amp;$AE12,Graphes[FC_AC_30_sans_clique_Temps],"&lt;&gt;0")</f>
        <v>26</v>
      </c>
    </row>
    <row r="13" spans="1:35" x14ac:dyDescent="0.25">
      <c r="A13">
        <v>1</v>
      </c>
      <c r="B13">
        <f>COUNTIFS(Graphes[FC_Temps],"&lt;="&amp;$A13,Graphes[FC_Solution],"&lt;&gt;0")</f>
        <v>38</v>
      </c>
      <c r="C13">
        <f>COUNTIFS(Graphes[FC_AC_Temps],"&lt;="&amp;$A13,Graphes[FC_AC_Solution],"&lt;&gt;0")</f>
        <v>17</v>
      </c>
      <c r="D13">
        <f>COUNTIFS(Graphes[FC_AC_30_Temps],"&lt;="&amp;$A13,Graphes[FC_AC_30_Solution],"&lt;&gt;0")</f>
        <v>27</v>
      </c>
      <c r="E13">
        <f>COUNTIFS(Graphes[DS_Temps],"&lt;="&amp;$A13,Graphes[DS_Solution],"&lt;&gt;0")</f>
        <v>42</v>
      </c>
      <c r="L13" t="s">
        <v>65</v>
      </c>
      <c r="M13" s="5">
        <f>IF(VLOOKUP($L13,Graphes[],41,FALSE)&gt;=0,VLOOKUP($L13,Graphes[],41,FALSE),"non résolu")</f>
        <v>0.55555555555555558</v>
      </c>
      <c r="N13" s="5">
        <f>IF(VLOOKUP($L13,Graphes[],33,FALSE)&gt;=0,VLOOKUP($L13,Graphes[],33,FALSE),"non résolu")</f>
        <v>0.33333333333333331</v>
      </c>
      <c r="O13" s="5">
        <f>IF(VLOOKUP($L13,Graphes[],25,FALSE)&gt;=0,VLOOKUP($L13,Graphes[],25,FALSE),"non résolu")</f>
        <v>0.33333333333333331</v>
      </c>
      <c r="P13" s="5">
        <f>IF(VLOOKUP($L13,Graphes[],9,FALSE)&gt;=0,VLOOKUP($L13,Graphes[],9,FALSE),"non résolu")</f>
        <v>0.55555555555555558</v>
      </c>
      <c r="R13" t="s">
        <v>27</v>
      </c>
      <c r="S13">
        <f>VLOOKUP($R13,Graphes[],5,FALSE)*VLOOKUP($R13,Graphes[],7,FALSE)*VLOOKUP($R13,Graphes[],7,FALSE)</f>
        <v>391127</v>
      </c>
      <c r="T13" s="6">
        <f>IF(VLOOKUP($R13,Graphes[],40,FALSE)&gt;0,VLOOKUP($R13,Graphes[],42,FALSE),"non")</f>
        <v>5.41869664192199</v>
      </c>
      <c r="U13" s="6">
        <f>IF(VLOOKUP($R13,Graphes[],32,FALSE)&gt;0,VLOOKUP($R13,Graphes[],34,FALSE),"non")</f>
        <v>1.05000495910644</v>
      </c>
      <c r="V13" s="6">
        <f>IF(VLOOKUP($R13,Graphes[],24,FALSE)&gt;0,VLOOKUP($R13,Graphes[],26,FALSE),"non")</f>
        <v>1.2159461975097601</v>
      </c>
      <c r="W13" s="6">
        <f>IF(VLOOKUP($R13,Graphes[],8,FALSE)&gt;0,VLOOKUP($R13,Graphes[],10,FALSE),"non")</f>
        <v>1.0529975891113199</v>
      </c>
      <c r="Y13" t="s">
        <v>27</v>
      </c>
      <c r="Z13">
        <f>VLOOKUP($Y13,Graphes[],43,FALSE)</f>
        <v>548</v>
      </c>
      <c r="AA13">
        <f>VLOOKUP($Y13,Graphes[],35,FALSE)</f>
        <v>488</v>
      </c>
      <c r="AB13">
        <f>VLOOKUP($Y13,Graphes[],27,FALSE)</f>
        <v>488</v>
      </c>
      <c r="AC13">
        <f>VLOOKUP($Y13,Graphes[],11,FALSE)</f>
        <v>548</v>
      </c>
      <c r="AE13">
        <v>1</v>
      </c>
      <c r="AF13">
        <f>COUNTIFS(Graphes[DS_Temps],"&lt;="&amp;$AE13,Graphes[DS_Temps],"&lt;&gt;0")</f>
        <v>42</v>
      </c>
      <c r="AG13">
        <f>COUNTIFS(Graphes[DS_sans_clique_Temps],"&lt;="&amp;$AE13,Graphes[DS_sans_clique_Temps],"&lt;&gt;0")</f>
        <v>46</v>
      </c>
      <c r="AH13">
        <f>COUNTIFS(Graphes[FC_AC_30_Temps],"&lt;="&amp;$AE13,Graphes[FC_AC_30_Temps],"&lt;&gt;0")</f>
        <v>27</v>
      </c>
      <c r="AI13">
        <f>COUNTIFS(Graphes[FC_AC_30_sans_clique_Temps],"&lt;="&amp;$AE13,Graphes[FC_AC_30_sans_clique_Temps],"&lt;&gt;0")</f>
        <v>28</v>
      </c>
    </row>
    <row r="14" spans="1:35" x14ac:dyDescent="0.25">
      <c r="A14">
        <v>1.1000000000000001</v>
      </c>
      <c r="B14">
        <f>COUNTIFS(Graphes[FC_Temps],"&lt;="&amp;$A14,Graphes[FC_Solution],"&lt;&gt;0")</f>
        <v>39</v>
      </c>
      <c r="C14">
        <f>COUNTIFS(Graphes[FC_AC_Temps],"&lt;="&amp;$A14,Graphes[FC_AC_Solution],"&lt;&gt;0")</f>
        <v>18</v>
      </c>
      <c r="D14">
        <f>COUNTIFS(Graphes[FC_AC_30_Temps],"&lt;="&amp;$A14,Graphes[FC_AC_30_Solution],"&lt;&gt;0")</f>
        <v>27</v>
      </c>
      <c r="E14">
        <f>COUNTIFS(Graphes[DS_Temps],"&lt;="&amp;$A14,Graphes[DS_Solution],"&lt;&gt;0")</f>
        <v>43</v>
      </c>
      <c r="L14" t="s">
        <v>32</v>
      </c>
      <c r="M14" s="5">
        <f>IF(VLOOKUP($L14,Graphes[],41,FALSE)&gt;=0,VLOOKUP($L14,Graphes[],41,FALSE),"non résolu")</f>
        <v>0</v>
      </c>
      <c r="N14" s="5">
        <f>IF(VLOOKUP($L14,Graphes[],33,FALSE)&gt;=0,VLOOKUP($L14,Graphes[],33,FALSE),"non résolu")</f>
        <v>0</v>
      </c>
      <c r="O14" s="5">
        <f>IF(VLOOKUP($L14,Graphes[],25,FALSE)&gt;=0,VLOOKUP($L14,Graphes[],25,FALSE),"non résolu")</f>
        <v>0</v>
      </c>
      <c r="P14" s="5">
        <f>IF(VLOOKUP($L14,Graphes[],9,FALSE)&gt;=0,VLOOKUP($L14,Graphes[],9,FALSE),"non résolu")</f>
        <v>0</v>
      </c>
      <c r="R14" t="s">
        <v>21</v>
      </c>
      <c r="S14">
        <f>VLOOKUP($R14,Graphes[],5,FALSE)*VLOOKUP($R14,Graphes[],7,FALSE)*VLOOKUP($R14,Graphes[],7,FALSE)</f>
        <v>420480</v>
      </c>
      <c r="T14" s="6">
        <f>IF(VLOOKUP($R14,Graphes[],40,FALSE)&gt;0,VLOOKUP($R14,Graphes[],42,FALSE),"non")</f>
        <v>0.203114509582519</v>
      </c>
      <c r="U14" s="6">
        <f>IF(VLOOKUP($R14,Graphes[],32,FALSE)&gt;0,VLOOKUP($R14,Graphes[],34,FALSE),"non")</f>
        <v>0.34234738349914501</v>
      </c>
      <c r="V14" s="6">
        <f>IF(VLOOKUP($R14,Graphes[],24,FALSE)&gt;0,VLOOKUP($R14,Graphes[],26,FALSE),"non")</f>
        <v>8.4946393966674805E-2</v>
      </c>
      <c r="W14" s="6">
        <f>IF(VLOOKUP($R14,Graphes[],8,FALSE)&gt;0,VLOOKUP($R14,Graphes[],10,FALSE),"non")</f>
        <v>4.1422605514526298E-2</v>
      </c>
      <c r="Y14" t="s">
        <v>21</v>
      </c>
      <c r="Z14">
        <f>VLOOKUP($Y14,Graphes[],43,FALSE)</f>
        <v>148</v>
      </c>
      <c r="AA14">
        <f>VLOOKUP($Y14,Graphes[],35,FALSE)</f>
        <v>122</v>
      </c>
      <c r="AB14">
        <f>VLOOKUP($Y14,Graphes[],27,FALSE)</f>
        <v>122</v>
      </c>
      <c r="AC14">
        <f>VLOOKUP($Y14,Graphes[],11,FALSE)</f>
        <v>148</v>
      </c>
      <c r="AE14">
        <v>1.1000000000000001</v>
      </c>
      <c r="AF14">
        <f>COUNTIFS(Graphes[DS_Temps],"&lt;="&amp;$AE14,Graphes[DS_Temps],"&lt;&gt;0")</f>
        <v>43</v>
      </c>
      <c r="AG14">
        <f>COUNTIFS(Graphes[DS_sans_clique_Temps],"&lt;="&amp;$AE14,Graphes[DS_sans_clique_Temps],"&lt;&gt;0")</f>
        <v>47</v>
      </c>
      <c r="AH14">
        <f>COUNTIFS(Graphes[FC_AC_30_Temps],"&lt;="&amp;$AE14,Graphes[FC_AC_30_Temps],"&lt;&gt;0")</f>
        <v>27</v>
      </c>
      <c r="AI14">
        <f>COUNTIFS(Graphes[FC_AC_30_sans_clique_Temps],"&lt;="&amp;$AE14,Graphes[FC_AC_30_sans_clique_Temps],"&lt;&gt;0")</f>
        <v>29</v>
      </c>
    </row>
    <row r="15" spans="1:35" x14ac:dyDescent="0.25">
      <c r="A15">
        <v>1.3</v>
      </c>
      <c r="B15">
        <f>COUNTIFS(Graphes[FC_Temps],"&lt;="&amp;$A15,Graphes[FC_Solution],"&lt;&gt;0")</f>
        <v>39</v>
      </c>
      <c r="C15">
        <f>COUNTIFS(Graphes[FC_AC_Temps],"&lt;="&amp;$A15,Graphes[FC_AC_Solution],"&lt;&gt;0")</f>
        <v>19</v>
      </c>
      <c r="D15">
        <f>COUNTIFS(Graphes[FC_AC_30_Temps],"&lt;="&amp;$A15,Graphes[FC_AC_30_Solution],"&lt;&gt;0")</f>
        <v>28</v>
      </c>
      <c r="E15">
        <f>COUNTIFS(Graphes[DS_Temps],"&lt;="&amp;$A15,Graphes[DS_Solution],"&lt;&gt;0")</f>
        <v>43</v>
      </c>
      <c r="L15" t="s">
        <v>54</v>
      </c>
      <c r="M15" s="5">
        <f>IF(VLOOKUP($L15,Graphes[],41,FALSE)&gt;=0,VLOOKUP($L15,Graphes[],41,FALSE),"non résolu")</f>
        <v>0</v>
      </c>
      <c r="N15" s="5">
        <f>IF(VLOOKUP($L15,Graphes[],33,FALSE)&gt;=0,VLOOKUP($L15,Graphes[],33,FALSE),"non résolu")</f>
        <v>0</v>
      </c>
      <c r="O15" s="5">
        <f>IF(VLOOKUP($L15,Graphes[],25,FALSE)&gt;=0,VLOOKUP($L15,Graphes[],25,FALSE),"non résolu")</f>
        <v>0</v>
      </c>
      <c r="P15" s="5">
        <f>IF(VLOOKUP($L15,Graphes[],9,FALSE)&gt;=0,VLOOKUP($L15,Graphes[],9,FALSE),"non résolu")</f>
        <v>0</v>
      </c>
      <c r="R15" t="s">
        <v>33</v>
      </c>
      <c r="S15">
        <f>VLOOKUP($R15,Graphes[],5,FALSE)*VLOOKUP($R15,Graphes[],7,FALSE)*VLOOKUP($R15,Graphes[],7,FALSE)</f>
        <v>572242</v>
      </c>
      <c r="T15" s="6">
        <f>IF(VLOOKUP($R15,Graphes[],40,FALSE)&gt;0,VLOOKUP($R15,Graphes[],42,FALSE),"non")</f>
        <v>3.2938480377197203E-2</v>
      </c>
      <c r="U15" s="6">
        <f>IF(VLOOKUP($R15,Graphes[],32,FALSE)&gt;0,VLOOKUP($R15,Graphes[],34,FALSE),"non")</f>
        <v>0.16219210624694799</v>
      </c>
      <c r="V15" s="6">
        <f>IF(VLOOKUP($R15,Graphes[],24,FALSE)&gt;0,VLOOKUP($R15,Graphes[],26,FALSE),"non")</f>
        <v>4.9969434738159103E-2</v>
      </c>
      <c r="W15" s="6">
        <f>IF(VLOOKUP($R15,Graphes[],8,FALSE)&gt;0,VLOOKUP($R15,Graphes[],10,FALSE),"non")</f>
        <v>0.10430097579956001</v>
      </c>
      <c r="Y15" t="s">
        <v>33</v>
      </c>
      <c r="Z15">
        <f>VLOOKUP($Y15,Graphes[],43,FALSE)</f>
        <v>103</v>
      </c>
      <c r="AA15">
        <f>VLOOKUP($Y15,Graphes[],35,FALSE)</f>
        <v>71</v>
      </c>
      <c r="AB15">
        <f>VLOOKUP($Y15,Graphes[],27,FALSE)</f>
        <v>71</v>
      </c>
      <c r="AC15">
        <f>VLOOKUP($Y15,Graphes[],11,FALSE)</f>
        <v>103</v>
      </c>
      <c r="AE15">
        <v>1.3</v>
      </c>
      <c r="AF15">
        <f>COUNTIFS(Graphes[DS_Temps],"&lt;="&amp;$AE15,Graphes[DS_Temps],"&lt;&gt;0")</f>
        <v>43</v>
      </c>
      <c r="AG15">
        <f>COUNTIFS(Graphes[DS_sans_clique_Temps],"&lt;="&amp;$AE15,Graphes[DS_sans_clique_Temps],"&lt;&gt;0")</f>
        <v>48</v>
      </c>
      <c r="AH15">
        <f>COUNTIFS(Graphes[FC_AC_30_Temps],"&lt;="&amp;$AE15,Graphes[FC_AC_30_Temps],"&lt;&gt;0")</f>
        <v>28</v>
      </c>
      <c r="AI15">
        <f>COUNTIFS(Graphes[FC_AC_30_sans_clique_Temps],"&lt;="&amp;$AE15,Graphes[FC_AC_30_sans_clique_Temps],"&lt;&gt;0")</f>
        <v>32</v>
      </c>
    </row>
    <row r="16" spans="1:35" x14ac:dyDescent="0.25">
      <c r="A16">
        <v>1.4</v>
      </c>
      <c r="B16">
        <f>COUNTIFS(Graphes[FC_Temps],"&lt;="&amp;$A16,Graphes[FC_Solution],"&lt;&gt;0")</f>
        <v>42</v>
      </c>
      <c r="C16">
        <f>COUNTIFS(Graphes[FC_AC_Temps],"&lt;="&amp;$A16,Graphes[FC_AC_Solution],"&lt;&gt;0")</f>
        <v>19</v>
      </c>
      <c r="D16">
        <f>COUNTIFS(Graphes[FC_AC_30_Temps],"&lt;="&amp;$A16,Graphes[FC_AC_30_Solution],"&lt;&gt;0")</f>
        <v>30</v>
      </c>
      <c r="E16">
        <f>COUNTIFS(Graphes[DS_Temps],"&lt;="&amp;$A16,Graphes[DS_Solution],"&lt;&gt;0")</f>
        <v>44</v>
      </c>
      <c r="L16" t="s">
        <v>66</v>
      </c>
      <c r="M16" s="5">
        <f>IF(VLOOKUP($L16,Graphes[],41,FALSE)&gt;=0,VLOOKUP($L16,Graphes[],41,FALSE),"non résolu")</f>
        <v>0.4</v>
      </c>
      <c r="N16" s="5">
        <f>IF(VLOOKUP($L16,Graphes[],33,FALSE)&gt;=0,VLOOKUP($L16,Graphes[],33,FALSE),"non résolu")</f>
        <v>0.3</v>
      </c>
      <c r="O16" s="5">
        <f>IF(VLOOKUP($L16,Graphes[],25,FALSE)&gt;=0,VLOOKUP($L16,Graphes[],25,FALSE),"non résolu")</f>
        <v>0.3</v>
      </c>
      <c r="P16" s="5">
        <f>IF(VLOOKUP($L16,Graphes[],9,FALSE)&gt;=0,VLOOKUP($L16,Graphes[],9,FALSE),"non résolu")</f>
        <v>0.4</v>
      </c>
      <c r="R16" t="s">
        <v>63</v>
      </c>
      <c r="S16">
        <f>VLOOKUP($R16,Graphes[],5,FALSE)*VLOOKUP($R16,Graphes[],7,FALSE)*VLOOKUP($R16,Graphes[],7,FALSE)</f>
        <v>576250</v>
      </c>
      <c r="T16" s="6">
        <f>IF(VLOOKUP($R16,Graphes[],40,FALSE)&gt;0,VLOOKUP($R16,Graphes[],42,FALSE),"non")</f>
        <v>1.3993501663207999E-2</v>
      </c>
      <c r="U16" s="6">
        <f>IF(VLOOKUP($R16,Graphes[],32,FALSE)&gt;0,VLOOKUP($R16,Graphes[],34,FALSE),"non")</f>
        <v>0.30581045150756803</v>
      </c>
      <c r="V16" s="6">
        <f>IF(VLOOKUP($R16,Graphes[],24,FALSE)&gt;0,VLOOKUP($R16,Graphes[],26,FALSE),"non")</f>
        <v>8.6946249008178697E-2</v>
      </c>
      <c r="W16" s="6">
        <f>IF(VLOOKUP($R16,Graphes[],8,FALSE)&gt;0,VLOOKUP($R16,Graphes[],10,FALSE),"non")</f>
        <v>2.7981758117675701E-2</v>
      </c>
      <c r="Y16" t="s">
        <v>63</v>
      </c>
      <c r="Z16">
        <f>VLOOKUP($Y16,Graphes[],43,FALSE)</f>
        <v>70</v>
      </c>
      <c r="AA16">
        <f>VLOOKUP($Y16,Graphes[],35,FALSE)</f>
        <v>44</v>
      </c>
      <c r="AB16">
        <f>VLOOKUP($Y16,Graphes[],27,FALSE)</f>
        <v>44</v>
      </c>
      <c r="AC16">
        <f>VLOOKUP($Y16,Graphes[],11,FALSE)</f>
        <v>70</v>
      </c>
      <c r="AE16">
        <v>1.4</v>
      </c>
      <c r="AF16">
        <f>COUNTIFS(Graphes[DS_Temps],"&lt;="&amp;$AE16,Graphes[DS_Temps],"&lt;&gt;0")</f>
        <v>44</v>
      </c>
      <c r="AG16">
        <f>COUNTIFS(Graphes[DS_sans_clique_Temps],"&lt;="&amp;$AE16,Graphes[DS_sans_clique_Temps],"&lt;&gt;0")</f>
        <v>48</v>
      </c>
      <c r="AH16">
        <f>COUNTIFS(Graphes[FC_AC_30_Temps],"&lt;="&amp;$AE16,Graphes[FC_AC_30_Temps],"&lt;&gt;0")</f>
        <v>30</v>
      </c>
      <c r="AI16">
        <f>COUNTIFS(Graphes[FC_AC_30_sans_clique_Temps],"&lt;="&amp;$AE16,Graphes[FC_AC_30_sans_clique_Temps],"&lt;&gt;0")</f>
        <v>33</v>
      </c>
    </row>
    <row r="17" spans="1:35" x14ac:dyDescent="0.25">
      <c r="A17">
        <v>1.5</v>
      </c>
      <c r="B17">
        <f>COUNTIFS(Graphes[FC_Temps],"&lt;="&amp;$A17,Graphes[FC_Solution],"&lt;&gt;0")</f>
        <v>43</v>
      </c>
      <c r="C17">
        <f>COUNTIFS(Graphes[FC_AC_Temps],"&lt;="&amp;$A17,Graphes[FC_AC_Solution],"&lt;&gt;0")</f>
        <v>19</v>
      </c>
      <c r="D17">
        <f>COUNTIFS(Graphes[FC_AC_30_Temps],"&lt;="&amp;$A17,Graphes[FC_AC_30_Solution],"&lt;&gt;0")</f>
        <v>31</v>
      </c>
      <c r="E17">
        <f>COUNTIFS(Graphes[DS_Temps],"&lt;="&amp;$A17,Graphes[DS_Solution],"&lt;&gt;0")</f>
        <v>46</v>
      </c>
      <c r="L17" t="s">
        <v>64</v>
      </c>
      <c r="M17" s="5">
        <f>IF(VLOOKUP($L17,Graphes[],41,FALSE)&gt;=0,VLOOKUP($L17,Graphes[],41,FALSE),"non résolu")</f>
        <v>8.3333333333333329E-2</v>
      </c>
      <c r="N17" s="5">
        <f>IF(VLOOKUP($L17,Graphes[],33,FALSE)&gt;=0,VLOOKUP($L17,Graphes[],33,FALSE),"non résolu")</f>
        <v>8.3333333333333329E-2</v>
      </c>
      <c r="O17" s="5">
        <f>IF(VLOOKUP($L17,Graphes[],25,FALSE)&gt;=0,VLOOKUP($L17,Graphes[],25,FALSE),"non résolu")</f>
        <v>8.3333333333333329E-2</v>
      </c>
      <c r="P17" s="5">
        <f>IF(VLOOKUP($L17,Graphes[],9,FALSE)&gt;=0,VLOOKUP($L17,Graphes[],9,FALSE),"non résolu")</f>
        <v>8.3333333333333329E-2</v>
      </c>
      <c r="R17" t="s">
        <v>24</v>
      </c>
      <c r="S17">
        <f>VLOOKUP($R17,Graphes[],5,FALSE)*VLOOKUP($R17,Graphes[],7,FALSE)*VLOOKUP($R17,Graphes[],7,FALSE)</f>
        <v>882090</v>
      </c>
      <c r="T17" s="6">
        <f>IF(VLOOKUP($R17,Graphes[],40,FALSE)&gt;0,VLOOKUP($R17,Graphes[],42,FALSE),"non")</f>
        <v>1.48467588424682</v>
      </c>
      <c r="U17" s="6">
        <f>IF(VLOOKUP($R17,Graphes[],32,FALSE)&gt;0,VLOOKUP($R17,Graphes[],34,FALSE),"non")</f>
        <v>2.6669299602508501</v>
      </c>
      <c r="V17" s="6">
        <f>IF(VLOOKUP($R17,Graphes[],24,FALSE)&gt;0,VLOOKUP($R17,Graphes[],26,FALSE),"non")</f>
        <v>0.22886157035827601</v>
      </c>
      <c r="W17" s="6">
        <f>IF(VLOOKUP($R17,Graphes[],8,FALSE)&gt;0,VLOOKUP($R17,Graphes[],10,FALSE),"non")</f>
        <v>0.152209997177124</v>
      </c>
      <c r="Y17" t="s">
        <v>24</v>
      </c>
      <c r="Z17">
        <f>VLOOKUP($Y17,Graphes[],43,FALSE)</f>
        <v>263</v>
      </c>
      <c r="AA17">
        <f>VLOOKUP($Y17,Graphes[],35,FALSE)</f>
        <v>247</v>
      </c>
      <c r="AB17">
        <f>VLOOKUP($Y17,Graphes[],27,FALSE)</f>
        <v>247</v>
      </c>
      <c r="AC17">
        <f>VLOOKUP($Y17,Graphes[],11,FALSE)</f>
        <v>263</v>
      </c>
      <c r="AE17">
        <v>1.5</v>
      </c>
      <c r="AF17">
        <f>COUNTIFS(Graphes[DS_Temps],"&lt;="&amp;$AE17,Graphes[DS_Temps],"&lt;&gt;0")</f>
        <v>46</v>
      </c>
      <c r="AG17">
        <f>COUNTIFS(Graphes[DS_sans_clique_Temps],"&lt;="&amp;$AE17,Graphes[DS_sans_clique_Temps],"&lt;&gt;0")</f>
        <v>48</v>
      </c>
      <c r="AH17">
        <f>COUNTIFS(Graphes[FC_AC_30_Temps],"&lt;="&amp;$AE17,Graphes[FC_AC_30_Temps],"&lt;&gt;0")</f>
        <v>31</v>
      </c>
      <c r="AI17">
        <f>COUNTIFS(Graphes[FC_AC_30_sans_clique_Temps],"&lt;="&amp;$AE17,Graphes[FC_AC_30_sans_clique_Temps],"&lt;&gt;0")</f>
        <v>38</v>
      </c>
    </row>
    <row r="18" spans="1:35" x14ac:dyDescent="0.25">
      <c r="A18">
        <v>1.6</v>
      </c>
      <c r="B18">
        <f>COUNTIFS(Graphes[FC_Temps],"&lt;="&amp;$A18,Graphes[FC_Solution],"&lt;&gt;0")</f>
        <v>44</v>
      </c>
      <c r="C18">
        <f>COUNTIFS(Graphes[FC_AC_Temps],"&lt;="&amp;$A18,Graphes[FC_AC_Solution],"&lt;&gt;0")</f>
        <v>19</v>
      </c>
      <c r="D18">
        <f>COUNTIFS(Graphes[FC_AC_30_Temps],"&lt;="&amp;$A18,Graphes[FC_AC_30_Solution],"&lt;&gt;0")</f>
        <v>31</v>
      </c>
      <c r="E18">
        <f>COUNTIFS(Graphes[DS_Temps],"&lt;="&amp;$A18,Graphes[DS_Solution],"&lt;&gt;0")</f>
        <v>46</v>
      </c>
      <c r="L18" t="s">
        <v>43</v>
      </c>
      <c r="M18" s="5">
        <f>IF(VLOOKUP($L18,Graphes[],41,FALSE)&gt;=0,VLOOKUP($L18,Graphes[],41,FALSE),"non résolu")</f>
        <v>0.1</v>
      </c>
      <c r="N18" s="5">
        <f>IF(VLOOKUP($L18,Graphes[],33,FALSE)&gt;=0,VLOOKUP($L18,Graphes[],33,FALSE),"non résolu")</f>
        <v>0</v>
      </c>
      <c r="O18" s="5">
        <f>IF(VLOOKUP($L18,Graphes[],25,FALSE)&gt;=0,VLOOKUP($L18,Graphes[],25,FALSE),"non résolu")</f>
        <v>0</v>
      </c>
      <c r="P18" s="5">
        <f>IF(VLOOKUP($L18,Graphes[],9,FALSE)&gt;=0,VLOOKUP($L18,Graphes[],9,FALSE),"non résolu")</f>
        <v>0.1</v>
      </c>
      <c r="R18" t="s">
        <v>65</v>
      </c>
      <c r="S18">
        <f>VLOOKUP($R18,Graphes[],5,FALSE)*VLOOKUP($R18,Graphes[],7,FALSE)*VLOOKUP($R18,Graphes[],7,FALSE)</f>
        <v>1097600</v>
      </c>
      <c r="T18" s="6">
        <f>IF(VLOOKUP($R18,Graphes[],40,FALSE)&gt;0,VLOOKUP($R18,Graphes[],42,FALSE),"non")</f>
        <v>1.99854373931884E-2</v>
      </c>
      <c r="U18" s="6">
        <f>IF(VLOOKUP($R18,Graphes[],32,FALSE)&gt;0,VLOOKUP($R18,Graphes[],34,FALSE),"non")</f>
        <v>0.58163928985595703</v>
      </c>
      <c r="V18" s="6">
        <f>IF(VLOOKUP($R18,Graphes[],24,FALSE)&gt;0,VLOOKUP($R18,Graphes[],26,FALSE),"non")</f>
        <v>0.130917072296142</v>
      </c>
      <c r="W18" s="6">
        <f>IF(VLOOKUP($R18,Graphes[],8,FALSE)&gt;0,VLOOKUP($R18,Graphes[],10,FALSE),"non")</f>
        <v>0.107933044433593</v>
      </c>
      <c r="Y18" t="s">
        <v>65</v>
      </c>
      <c r="Z18">
        <f>VLOOKUP($Y18,Graphes[],43,FALSE)</f>
        <v>93</v>
      </c>
      <c r="AA18">
        <f>VLOOKUP($Y18,Graphes[],35,FALSE)</f>
        <v>57</v>
      </c>
      <c r="AB18">
        <f>VLOOKUP($Y18,Graphes[],27,FALSE)</f>
        <v>57</v>
      </c>
      <c r="AC18">
        <f>VLOOKUP($Y18,Graphes[],11,FALSE)</f>
        <v>93</v>
      </c>
      <c r="AE18">
        <v>1.6</v>
      </c>
      <c r="AF18">
        <f>COUNTIFS(Graphes[DS_Temps],"&lt;="&amp;$AE18,Graphes[DS_Temps],"&lt;&gt;0")</f>
        <v>46</v>
      </c>
      <c r="AG18">
        <f>COUNTIFS(Graphes[DS_sans_clique_Temps],"&lt;="&amp;$AE18,Graphes[DS_sans_clique_Temps],"&lt;&gt;0")</f>
        <v>48</v>
      </c>
      <c r="AH18">
        <f>COUNTIFS(Graphes[FC_AC_30_Temps],"&lt;="&amp;$AE18,Graphes[FC_AC_30_Temps],"&lt;&gt;0")</f>
        <v>31</v>
      </c>
      <c r="AI18">
        <f>COUNTIFS(Graphes[FC_AC_30_sans_clique_Temps],"&lt;="&amp;$AE18,Graphes[FC_AC_30_sans_clique_Temps],"&lt;&gt;0")</f>
        <v>39</v>
      </c>
    </row>
    <row r="19" spans="1:35" x14ac:dyDescent="0.25">
      <c r="A19">
        <v>1.7</v>
      </c>
      <c r="B19">
        <f>COUNTIFS(Graphes[FC_Temps],"&lt;="&amp;$A19,Graphes[FC_Solution],"&lt;&gt;0")</f>
        <v>45</v>
      </c>
      <c r="C19">
        <f>COUNTIFS(Graphes[FC_AC_Temps],"&lt;="&amp;$A19,Graphes[FC_AC_Solution],"&lt;&gt;0")</f>
        <v>20</v>
      </c>
      <c r="D19">
        <f>COUNTIFS(Graphes[FC_AC_30_Temps],"&lt;="&amp;$A19,Graphes[FC_AC_30_Solution],"&lt;&gt;0")</f>
        <v>32</v>
      </c>
      <c r="E19">
        <f>COUNTIFS(Graphes[DS_Temps],"&lt;="&amp;$A19,Graphes[DS_Solution],"&lt;&gt;0")</f>
        <v>46</v>
      </c>
      <c r="L19" t="s">
        <v>17</v>
      </c>
      <c r="M19" s="5">
        <f>IF(VLOOKUP($L19,Graphes[],41,FALSE)&gt;=0,VLOOKUP($L19,Graphes[],41,FALSE),"non résolu")</f>
        <v>0</v>
      </c>
      <c r="N19" s="5">
        <f>IF(VLOOKUP($L19,Graphes[],33,FALSE)&gt;=0,VLOOKUP($L19,Graphes[],33,FALSE),"non résolu")</f>
        <v>0</v>
      </c>
      <c r="O19" s="5">
        <f>IF(VLOOKUP($L19,Graphes[],25,FALSE)&gt;=0,VLOOKUP($L19,Graphes[],25,FALSE),"non résolu")</f>
        <v>0</v>
      </c>
      <c r="P19" s="5">
        <f>IF(VLOOKUP($L19,Graphes[],9,FALSE)&gt;=0,VLOOKUP($L19,Graphes[],9,FALSE),"non résolu")</f>
        <v>0</v>
      </c>
      <c r="R19" t="s">
        <v>25</v>
      </c>
      <c r="S19">
        <f>VLOOKUP($R19,Graphes[],5,FALSE)*VLOOKUP($R19,Graphes[],7,FALSE)*VLOOKUP($R19,Graphes[],7,FALSE)</f>
        <v>1332396</v>
      </c>
      <c r="T19" s="6">
        <f>IF(VLOOKUP($R19,Graphes[],40,FALSE)&gt;0,VLOOKUP($R19,Graphes[],42,FALSE),"non")</f>
        <v>0.25451850891113198</v>
      </c>
      <c r="U19" s="6">
        <f>IF(VLOOKUP($R19,Graphes[],32,FALSE)&gt;0,VLOOKUP($R19,Graphes[],34,FALSE),"non")</f>
        <v>2.5835888385772701</v>
      </c>
      <c r="V19" s="6">
        <f>IF(VLOOKUP($R19,Graphes[],24,FALSE)&gt;0,VLOOKUP($R19,Graphes[],26,FALSE),"non")</f>
        <v>0.36877393722534102</v>
      </c>
      <c r="W19" s="6">
        <f>IF(VLOOKUP($R19,Graphes[],8,FALSE)&gt;0,VLOOKUP($R19,Graphes[],10,FALSE),"non")</f>
        <v>0.181155204772949</v>
      </c>
      <c r="Y19" t="s">
        <v>25</v>
      </c>
      <c r="Z19">
        <f>VLOOKUP($Y19,Graphes[],43,FALSE)</f>
        <v>290</v>
      </c>
      <c r="AA19">
        <f>VLOOKUP($Y19,Graphes[],35,FALSE)</f>
        <v>244</v>
      </c>
      <c r="AB19">
        <f>VLOOKUP($Y19,Graphes[],27,FALSE)</f>
        <v>244</v>
      </c>
      <c r="AC19">
        <f>VLOOKUP($Y19,Graphes[],11,FALSE)</f>
        <v>290</v>
      </c>
      <c r="AE19">
        <v>1.7</v>
      </c>
      <c r="AF19">
        <f>COUNTIFS(Graphes[DS_Temps],"&lt;="&amp;$AE19,Graphes[DS_Temps],"&lt;&gt;0")</f>
        <v>46</v>
      </c>
      <c r="AG19">
        <f>COUNTIFS(Graphes[DS_sans_clique_Temps],"&lt;="&amp;$AE19,Graphes[DS_sans_clique_Temps],"&lt;&gt;0")</f>
        <v>49</v>
      </c>
      <c r="AH19">
        <f>COUNTIFS(Graphes[FC_AC_30_Temps],"&lt;="&amp;$AE19,Graphes[FC_AC_30_Temps],"&lt;&gt;0")</f>
        <v>32</v>
      </c>
      <c r="AI19">
        <f>COUNTIFS(Graphes[FC_AC_30_sans_clique_Temps],"&lt;="&amp;$AE19,Graphes[FC_AC_30_sans_clique_Temps],"&lt;&gt;0")</f>
        <v>39</v>
      </c>
    </row>
    <row r="20" spans="1:35" x14ac:dyDescent="0.25">
      <c r="A20">
        <v>1.8</v>
      </c>
      <c r="B20">
        <f>COUNTIFS(Graphes[FC_Temps],"&lt;="&amp;$A20,Graphes[FC_Solution],"&lt;&gt;0")</f>
        <v>47</v>
      </c>
      <c r="C20">
        <f>COUNTIFS(Graphes[FC_AC_Temps],"&lt;="&amp;$A20,Graphes[FC_AC_Solution],"&lt;&gt;0")</f>
        <v>20</v>
      </c>
      <c r="D20">
        <f>COUNTIFS(Graphes[FC_AC_30_Temps],"&lt;="&amp;$A20,Graphes[FC_AC_30_Solution],"&lt;&gt;0")</f>
        <v>32</v>
      </c>
      <c r="E20">
        <f>COUNTIFS(Graphes[DS_Temps],"&lt;="&amp;$A20,Graphes[DS_Solution],"&lt;&gt;0")</f>
        <v>46</v>
      </c>
      <c r="L20" t="s">
        <v>18</v>
      </c>
      <c r="M20" s="5">
        <f>IF(VLOOKUP($L20,Graphes[],41,FALSE)&gt;=0,VLOOKUP($L20,Graphes[],41,FALSE),"non résolu")</f>
        <v>0</v>
      </c>
      <c r="N20" s="5">
        <f>IF(VLOOKUP($L20,Graphes[],33,FALSE)&gt;=0,VLOOKUP($L20,Graphes[],33,FALSE),"non résolu")</f>
        <v>0</v>
      </c>
      <c r="O20" s="5">
        <f>IF(VLOOKUP($L20,Graphes[],25,FALSE)&gt;=0,VLOOKUP($L20,Graphes[],25,FALSE),"non résolu")</f>
        <v>0</v>
      </c>
      <c r="P20" s="5">
        <f>IF(VLOOKUP($L20,Graphes[],9,FALSE)&gt;=0,VLOOKUP($L20,Graphes[],9,FALSE),"non résolu")</f>
        <v>0</v>
      </c>
      <c r="R20" t="s">
        <v>26</v>
      </c>
      <c r="S20">
        <f>VLOOKUP($R20,Graphes[],5,FALSE)*VLOOKUP($R20,Graphes[],7,FALSE)*VLOOKUP($R20,Graphes[],7,FALSE)</f>
        <v>1417475</v>
      </c>
      <c r="T20" s="6">
        <f>IF(VLOOKUP($R20,Graphes[],40,FALSE)&gt;0,VLOOKUP($R20,Graphes[],42,FALSE),"non")</f>
        <v>3.2927396297454798</v>
      </c>
      <c r="U20" s="6">
        <f>IF(VLOOKUP($R20,Graphes[],32,FALSE)&gt;0,VLOOKUP($R20,Graphes[],34,FALSE),"non")</f>
        <v>1.23565077781677</v>
      </c>
      <c r="V20" s="6">
        <f>IF(VLOOKUP($R20,Graphes[],24,FALSE)&gt;0,VLOOKUP($R20,Graphes[],26,FALSE),"non")</f>
        <v>0.89066147804260198</v>
      </c>
      <c r="W20" s="6">
        <f>IF(VLOOKUP($R20,Graphes[],8,FALSE)&gt;0,VLOOKUP($R20,Graphes[],10,FALSE),"non")</f>
        <v>0.62082123756408603</v>
      </c>
      <c r="Y20" t="s">
        <v>26</v>
      </c>
      <c r="Z20">
        <f>VLOOKUP($Y20,Graphes[],43,FALSE)</f>
        <v>515</v>
      </c>
      <c r="AA20">
        <f>VLOOKUP($Y20,Graphes[],35,FALSE)</f>
        <v>497</v>
      </c>
      <c r="AB20">
        <f>VLOOKUP($Y20,Graphes[],27,FALSE)</f>
        <v>497</v>
      </c>
      <c r="AC20">
        <f>VLOOKUP($Y20,Graphes[],11,FALSE)</f>
        <v>515</v>
      </c>
      <c r="AE20">
        <v>1.8</v>
      </c>
      <c r="AF20">
        <f>COUNTIFS(Graphes[DS_Temps],"&lt;="&amp;$AE20,Graphes[DS_Temps],"&lt;&gt;0")</f>
        <v>46</v>
      </c>
      <c r="AG20">
        <f>COUNTIFS(Graphes[DS_sans_clique_Temps],"&lt;="&amp;$AE20,Graphes[DS_sans_clique_Temps],"&lt;&gt;0")</f>
        <v>50</v>
      </c>
      <c r="AH20">
        <f>COUNTIFS(Graphes[FC_AC_30_Temps],"&lt;="&amp;$AE20,Graphes[FC_AC_30_Temps],"&lt;&gt;0")</f>
        <v>32</v>
      </c>
      <c r="AI20">
        <f>COUNTIFS(Graphes[FC_AC_30_sans_clique_Temps],"&lt;="&amp;$AE20,Graphes[FC_AC_30_sans_clique_Temps],"&lt;&gt;0")</f>
        <v>40</v>
      </c>
    </row>
    <row r="21" spans="1:35" x14ac:dyDescent="0.25">
      <c r="A21">
        <v>1.9</v>
      </c>
      <c r="B21">
        <f>COUNTIFS(Graphes[FC_Temps],"&lt;="&amp;$A21,Graphes[FC_Solution],"&lt;&gt;0")</f>
        <v>48</v>
      </c>
      <c r="C21">
        <f>COUNTIFS(Graphes[FC_AC_Temps],"&lt;="&amp;$A21,Graphes[FC_AC_Solution],"&lt;&gt;0")</f>
        <v>20</v>
      </c>
      <c r="D21">
        <f>COUNTIFS(Graphes[FC_AC_30_Temps],"&lt;="&amp;$A21,Graphes[FC_AC_30_Solution],"&lt;&gt;0")</f>
        <v>32</v>
      </c>
      <c r="E21">
        <f>COUNTIFS(Graphes[DS_Temps],"&lt;="&amp;$A21,Graphes[DS_Solution],"&lt;&gt;0")</f>
        <v>46</v>
      </c>
      <c r="L21" t="s">
        <v>57</v>
      </c>
      <c r="M21" s="5">
        <f>IF(VLOOKUP($L21,Graphes[],41,FALSE)&gt;=0,VLOOKUP($L21,Graphes[],41,FALSE),"non résolu")</f>
        <v>0.45454545454545453</v>
      </c>
      <c r="N21" s="5">
        <f>IF(VLOOKUP($L21,Graphes[],33,FALSE)&gt;=0,VLOOKUP($L21,Graphes[],33,FALSE),"non résolu")</f>
        <v>0.45454545454545453</v>
      </c>
      <c r="O21" s="5">
        <f>IF(VLOOKUP($L21,Graphes[],25,FALSE)&gt;=0,VLOOKUP($L21,Graphes[],25,FALSE),"non résolu")</f>
        <v>0.45454545454545453</v>
      </c>
      <c r="P21" s="5">
        <f>IF(VLOOKUP($L21,Graphes[],9,FALSE)&gt;=0,VLOOKUP($L21,Graphes[],9,FALSE),"non résolu")</f>
        <v>0.45454545454545453</v>
      </c>
      <c r="R21" t="s">
        <v>32</v>
      </c>
      <c r="S21">
        <f>VLOOKUP($R21,Graphes[],5,FALSE)*VLOOKUP($R21,Graphes[],7,FALSE)*VLOOKUP($R21,Graphes[],7,FALSE)</f>
        <v>1545480</v>
      </c>
      <c r="T21" s="6">
        <f>IF(VLOOKUP($R21,Graphes[],40,FALSE)&gt;0,VLOOKUP($R21,Graphes[],42,FALSE),"non")</f>
        <v>0.12027168273925699</v>
      </c>
      <c r="U21" s="6">
        <f>IF(VLOOKUP($R21,Graphes[],32,FALSE)&gt;0,VLOOKUP($R21,Graphes[],34,FALSE),"non")</f>
        <v>1.67281937599182</v>
      </c>
      <c r="V21" s="6">
        <f>IF(VLOOKUP($R21,Graphes[],24,FALSE)&gt;0,VLOOKUP($R21,Graphes[],26,FALSE),"non")</f>
        <v>9.3941211700439398E-2</v>
      </c>
      <c r="W21" s="6">
        <f>IF(VLOOKUP($R21,Graphes[],8,FALSE)&gt;0,VLOOKUP($R21,Graphes[],10,FALSE),"non")</f>
        <v>0.32787656784057601</v>
      </c>
      <c r="Y21" t="s">
        <v>32</v>
      </c>
      <c r="Z21">
        <f>VLOOKUP($Y21,Graphes[],43,FALSE)</f>
        <v>86</v>
      </c>
      <c r="AA21">
        <f>VLOOKUP($Y21,Graphes[],35,FALSE)</f>
        <v>66</v>
      </c>
      <c r="AB21">
        <f>VLOOKUP($Y21,Graphes[],27,FALSE)</f>
        <v>66</v>
      </c>
      <c r="AC21">
        <f>VLOOKUP($Y21,Graphes[],11,FALSE)</f>
        <v>86</v>
      </c>
      <c r="AE21">
        <v>1.9</v>
      </c>
      <c r="AF21">
        <f>COUNTIFS(Graphes[DS_Temps],"&lt;="&amp;$AE21,Graphes[DS_Temps],"&lt;&gt;0")</f>
        <v>46</v>
      </c>
      <c r="AG21">
        <f>COUNTIFS(Graphes[DS_sans_clique_Temps],"&lt;="&amp;$AE21,Graphes[DS_sans_clique_Temps],"&lt;&gt;0")</f>
        <v>50</v>
      </c>
      <c r="AH21">
        <f>COUNTIFS(Graphes[FC_AC_30_Temps],"&lt;="&amp;$AE21,Graphes[FC_AC_30_Temps],"&lt;&gt;0")</f>
        <v>32</v>
      </c>
      <c r="AI21">
        <f>COUNTIFS(Graphes[FC_AC_30_sans_clique_Temps],"&lt;="&amp;$AE21,Graphes[FC_AC_30_sans_clique_Temps],"&lt;&gt;0")</f>
        <v>41</v>
      </c>
    </row>
    <row r="22" spans="1:35" x14ac:dyDescent="0.25">
      <c r="A22">
        <v>2</v>
      </c>
      <c r="B22">
        <f>COUNTIFS(Graphes[FC_Temps],"&lt;="&amp;$A22,Graphes[FC_Solution],"&lt;&gt;0")</f>
        <v>48</v>
      </c>
      <c r="C22">
        <f>COUNTIFS(Graphes[FC_AC_Temps],"&lt;="&amp;$A22,Graphes[FC_AC_Solution],"&lt;&gt;0")</f>
        <v>20</v>
      </c>
      <c r="D22">
        <f>COUNTIFS(Graphes[FC_AC_30_Temps],"&lt;="&amp;$A22,Graphes[FC_AC_30_Solution],"&lt;&gt;0")</f>
        <v>33</v>
      </c>
      <c r="E22">
        <f>COUNTIFS(Graphes[DS_Temps],"&lt;="&amp;$A22,Graphes[DS_Solution],"&lt;&gt;0")</f>
        <v>46</v>
      </c>
      <c r="L22" t="s">
        <v>38</v>
      </c>
      <c r="M22" s="5">
        <f>IF(VLOOKUP($L22,Graphes[],41,FALSE)&gt;=0,VLOOKUP($L22,Graphes[],41,FALSE),"non résolu")</f>
        <v>1</v>
      </c>
      <c r="N22" s="5">
        <f>IF(VLOOKUP($L22,Graphes[],33,FALSE)&gt;=0,VLOOKUP($L22,Graphes[],33,FALSE),"non résolu")</f>
        <v>1</v>
      </c>
      <c r="O22" s="5">
        <f>IF(VLOOKUP($L22,Graphes[],25,FALSE)&gt;=0,VLOOKUP($L22,Graphes[],25,FALSE),"non résolu")</f>
        <v>1</v>
      </c>
      <c r="P22" s="5">
        <f>IF(VLOOKUP($L22,Graphes[],9,FALSE)&gt;=0,VLOOKUP($L22,Graphes[],9,FALSE),"non résolu")</f>
        <v>1</v>
      </c>
      <c r="R22" t="s">
        <v>54</v>
      </c>
      <c r="S22">
        <f>VLOOKUP($R22,Graphes[],5,FALSE)*VLOOKUP($R22,Graphes[],7,FALSE)*VLOOKUP($R22,Graphes[],7,FALSE)</f>
        <v>1737216</v>
      </c>
      <c r="T22" s="6">
        <f>IF(VLOOKUP($R22,Graphes[],40,FALSE)&gt;0,VLOOKUP($R22,Graphes[],42,FALSE),"non")</f>
        <v>9.7941637039184501E-2</v>
      </c>
      <c r="U22" s="6">
        <f>IF(VLOOKUP($R22,Graphes[],32,FALSE)&gt;0,VLOOKUP($R22,Graphes[],34,FALSE),"non")</f>
        <v>0.33379125595092701</v>
      </c>
      <c r="V22" s="6">
        <f>IF(VLOOKUP($R22,Graphes[],24,FALSE)&gt;0,VLOOKUP($R22,Graphes[],26,FALSE),"non")</f>
        <v>0.12092542648315401</v>
      </c>
      <c r="W22" s="6">
        <f>IF(VLOOKUP($R22,Graphes[],8,FALSE)&gt;0,VLOOKUP($R22,Graphes[],10,FALSE),"non")</f>
        <v>8.5945844650268499E-2</v>
      </c>
      <c r="Y22" t="s">
        <v>54</v>
      </c>
      <c r="Z22">
        <f>VLOOKUP($Y22,Graphes[],43,FALSE)</f>
        <v>140</v>
      </c>
      <c r="AA22">
        <f>VLOOKUP($Y22,Graphes[],35,FALSE)</f>
        <v>94</v>
      </c>
      <c r="AB22">
        <f>VLOOKUP($Y22,Graphes[],27,FALSE)</f>
        <v>94</v>
      </c>
      <c r="AC22">
        <f>VLOOKUP($Y22,Graphes[],11,FALSE)</f>
        <v>140</v>
      </c>
      <c r="AE22">
        <v>2</v>
      </c>
      <c r="AF22">
        <f>COUNTIFS(Graphes[DS_Temps],"&lt;="&amp;$AE22,Graphes[DS_Temps],"&lt;&gt;0")</f>
        <v>46</v>
      </c>
      <c r="AG22">
        <f>COUNTIFS(Graphes[DS_sans_clique_Temps],"&lt;="&amp;$AE22,Graphes[DS_sans_clique_Temps],"&lt;&gt;0")</f>
        <v>51</v>
      </c>
      <c r="AH22">
        <f>COUNTIFS(Graphes[FC_AC_30_Temps],"&lt;="&amp;$AE22,Graphes[FC_AC_30_Temps],"&lt;&gt;0")</f>
        <v>33</v>
      </c>
      <c r="AI22">
        <f>COUNTIFS(Graphes[FC_AC_30_sans_clique_Temps],"&lt;="&amp;$AE22,Graphes[FC_AC_30_sans_clique_Temps],"&lt;&gt;0")</f>
        <v>42</v>
      </c>
    </row>
    <row r="23" spans="1:35" x14ac:dyDescent="0.25">
      <c r="A23">
        <v>2.1</v>
      </c>
      <c r="B23">
        <f>COUNTIFS(Graphes[FC_Temps],"&lt;="&amp;$A23,Graphes[FC_Solution],"&lt;&gt;0")</f>
        <v>48</v>
      </c>
      <c r="C23">
        <f>COUNTIFS(Graphes[FC_AC_Temps],"&lt;="&amp;$A23,Graphes[FC_AC_Solution],"&lt;&gt;0")</f>
        <v>20</v>
      </c>
      <c r="D23">
        <f>COUNTIFS(Graphes[FC_AC_30_Temps],"&lt;="&amp;$A23,Graphes[FC_AC_30_Solution],"&lt;&gt;0")</f>
        <v>34</v>
      </c>
      <c r="E23">
        <f>COUNTIFS(Graphes[DS_Temps],"&lt;="&amp;$A23,Graphes[DS_Solution],"&lt;&gt;0")</f>
        <v>48</v>
      </c>
      <c r="L23" t="s">
        <v>39</v>
      </c>
      <c r="M23" s="5">
        <f>IF(VLOOKUP($L23,Graphes[],41,FALSE)&gt;=0,VLOOKUP($L23,Graphes[],41,FALSE),"non résolu")</f>
        <v>1</v>
      </c>
      <c r="N23" s="5">
        <f>IF(VLOOKUP($L23,Graphes[],33,FALSE)&gt;=0,VLOOKUP($L23,Graphes[],33,FALSE),"non résolu")</f>
        <v>1</v>
      </c>
      <c r="O23" s="5">
        <f>IF(VLOOKUP($L23,Graphes[],25,FALSE)&gt;=0,VLOOKUP($L23,Graphes[],25,FALSE),"non résolu")</f>
        <v>1</v>
      </c>
      <c r="P23" s="5">
        <f>IF(VLOOKUP($L23,Graphes[],9,FALSE)&gt;=0,VLOOKUP($L23,Graphes[],9,FALSE),"non résolu")</f>
        <v>1</v>
      </c>
      <c r="R23" t="s">
        <v>66</v>
      </c>
      <c r="S23">
        <f>VLOOKUP($R23,Graphes[],5,FALSE)*VLOOKUP($R23,Graphes[],7,FALSE)*VLOOKUP($R23,Graphes[],7,FALSE)</f>
        <v>2221560</v>
      </c>
      <c r="T23" s="6">
        <f>IF(VLOOKUP($R23,Graphes[],40,FALSE)&gt;0,VLOOKUP($R23,Graphes[],42,FALSE),"non")</f>
        <v>3.2979011535644497E-2</v>
      </c>
      <c r="U23" s="6">
        <f>IF(VLOOKUP($R23,Graphes[],32,FALSE)&gt;0,VLOOKUP($R23,Graphes[],34,FALSE),"non")</f>
        <v>0.71655511856079102</v>
      </c>
      <c r="V23" s="6">
        <f>IF(VLOOKUP($R23,Graphes[],24,FALSE)&gt;0,VLOOKUP($R23,Graphes[],26,FALSE),"non")</f>
        <v>0.29881644248962402</v>
      </c>
      <c r="W23" s="6">
        <f>IF(VLOOKUP($R23,Graphes[],8,FALSE)&gt;0,VLOOKUP($R23,Graphes[],10,FALSE),"non")</f>
        <v>3.9975166320800698E-2</v>
      </c>
      <c r="Y23" t="s">
        <v>66</v>
      </c>
      <c r="Z23">
        <f>VLOOKUP($Y23,Graphes[],43,FALSE)</f>
        <v>113</v>
      </c>
      <c r="AA23">
        <f>VLOOKUP($Y23,Graphes[],35,FALSE)</f>
        <v>73</v>
      </c>
      <c r="AB23">
        <f>VLOOKUP($Y23,Graphes[],27,FALSE)</f>
        <v>73</v>
      </c>
      <c r="AC23">
        <f>VLOOKUP($Y23,Graphes[],11,FALSE)</f>
        <v>113</v>
      </c>
      <c r="AE23">
        <v>2.1</v>
      </c>
      <c r="AF23">
        <f>COUNTIFS(Graphes[DS_Temps],"&lt;="&amp;$AE23,Graphes[DS_Temps],"&lt;&gt;0")</f>
        <v>48</v>
      </c>
      <c r="AG23">
        <f>COUNTIFS(Graphes[DS_sans_clique_Temps],"&lt;="&amp;$AE23,Graphes[DS_sans_clique_Temps],"&lt;&gt;0")</f>
        <v>51</v>
      </c>
      <c r="AH23">
        <f>COUNTIFS(Graphes[FC_AC_30_Temps],"&lt;="&amp;$AE23,Graphes[FC_AC_30_Temps],"&lt;&gt;0")</f>
        <v>34</v>
      </c>
      <c r="AI23">
        <f>COUNTIFS(Graphes[FC_AC_30_sans_clique_Temps],"&lt;="&amp;$AE23,Graphes[FC_AC_30_sans_clique_Temps],"&lt;&gt;0")</f>
        <v>43</v>
      </c>
    </row>
    <row r="24" spans="1:35" x14ac:dyDescent="0.25">
      <c r="A24">
        <v>2.2000000000000002</v>
      </c>
      <c r="B24">
        <f>COUNTIFS(Graphes[FC_Temps],"&lt;="&amp;$A24,Graphes[FC_Solution],"&lt;&gt;0")</f>
        <v>48</v>
      </c>
      <c r="C24">
        <f>COUNTIFS(Graphes[FC_AC_Temps],"&lt;="&amp;$A24,Graphes[FC_AC_Solution],"&lt;&gt;0")</f>
        <v>21</v>
      </c>
      <c r="D24">
        <f>COUNTIFS(Graphes[FC_AC_30_Temps],"&lt;="&amp;$A24,Graphes[FC_AC_30_Solution],"&lt;&gt;0")</f>
        <v>36</v>
      </c>
      <c r="E24">
        <f>COUNTIFS(Graphes[DS_Temps],"&lt;="&amp;$A24,Graphes[DS_Solution],"&lt;&gt;0")</f>
        <v>48</v>
      </c>
      <c r="L24" t="s">
        <v>44</v>
      </c>
      <c r="M24" s="5">
        <f>IF(VLOOKUP($L24,Graphes[],41,FALSE)&gt;=0,VLOOKUP($L24,Graphes[],41,FALSE),"non résolu")</f>
        <v>6.4516129032258063E-2</v>
      </c>
      <c r="N24" s="5">
        <f>IF(VLOOKUP($L24,Graphes[],33,FALSE)&gt;=0,VLOOKUP($L24,Graphes[],33,FALSE),"non résolu")</f>
        <v>0</v>
      </c>
      <c r="O24" s="5">
        <f>IF(VLOOKUP($L24,Graphes[],25,FALSE)&gt;=0,VLOOKUP($L24,Graphes[],25,FALSE),"non résolu")</f>
        <v>0</v>
      </c>
      <c r="P24" s="5">
        <f>IF(VLOOKUP($L24,Graphes[],9,FALSE)&gt;=0,VLOOKUP($L24,Graphes[],9,FALSE),"non résolu")</f>
        <v>6.4516129032258063E-2</v>
      </c>
      <c r="R24" t="s">
        <v>64</v>
      </c>
      <c r="S24">
        <f>VLOOKUP($R24,Graphes[],5,FALSE)*VLOOKUP($R24,Graphes[],7,FALSE)*VLOOKUP($R24,Graphes[],7,FALSE)</f>
        <v>2835756</v>
      </c>
      <c r="T24" s="6">
        <f>IF(VLOOKUP($R24,Graphes[],40,FALSE)&gt;0,VLOOKUP($R24,Graphes[],42,FALSE),"non")</f>
        <v>4.9968004226684501E-2</v>
      </c>
      <c r="U24" s="6">
        <f>IF(VLOOKUP($R24,Graphes[],32,FALSE)&gt;0,VLOOKUP($R24,Graphes[],34,FALSE),"non")</f>
        <v>3.2309973239898602</v>
      </c>
      <c r="V24" s="6">
        <f>IF(VLOOKUP($R24,Graphes[],24,FALSE)&gt;0,VLOOKUP($R24,Graphes[],26,FALSE),"non")</f>
        <v>0.36477184295654203</v>
      </c>
      <c r="W24" s="6">
        <f>IF(VLOOKUP($R24,Graphes[],8,FALSE)&gt;0,VLOOKUP($R24,Graphes[],10,FALSE),"non")</f>
        <v>5.1966428756713798E-2</v>
      </c>
      <c r="Y24" t="s">
        <v>64</v>
      </c>
      <c r="Z24">
        <f>VLOOKUP($Y24,Graphes[],43,FALSE)</f>
        <v>149</v>
      </c>
      <c r="AA24">
        <f>VLOOKUP($Y24,Graphes[],35,FALSE)</f>
        <v>85</v>
      </c>
      <c r="AB24">
        <f>VLOOKUP($Y24,Graphes[],27,FALSE)</f>
        <v>85</v>
      </c>
      <c r="AC24">
        <f>VLOOKUP($Y24,Graphes[],11,FALSE)</f>
        <v>149</v>
      </c>
      <c r="AE24">
        <v>2.2000000000000002</v>
      </c>
      <c r="AF24">
        <f>COUNTIFS(Graphes[DS_Temps],"&lt;="&amp;$AE24,Graphes[DS_Temps],"&lt;&gt;0")</f>
        <v>48</v>
      </c>
      <c r="AG24">
        <f>COUNTIFS(Graphes[DS_sans_clique_Temps],"&lt;="&amp;$AE24,Graphes[DS_sans_clique_Temps],"&lt;&gt;0")</f>
        <v>51</v>
      </c>
      <c r="AH24">
        <f>COUNTIFS(Graphes[FC_AC_30_Temps],"&lt;="&amp;$AE24,Graphes[FC_AC_30_Temps],"&lt;&gt;0")</f>
        <v>36</v>
      </c>
      <c r="AI24">
        <f>COUNTIFS(Graphes[FC_AC_30_sans_clique_Temps],"&lt;="&amp;$AE24,Graphes[FC_AC_30_sans_clique_Temps],"&lt;&gt;0")</f>
        <v>43</v>
      </c>
    </row>
    <row r="25" spans="1:35" x14ac:dyDescent="0.25">
      <c r="A25">
        <v>2.2999999999999998</v>
      </c>
      <c r="B25">
        <f>COUNTIFS(Graphes[FC_Temps],"&lt;="&amp;$A25,Graphes[FC_Solution],"&lt;&gt;0")</f>
        <v>48</v>
      </c>
      <c r="C25">
        <f>COUNTIFS(Graphes[FC_AC_Temps],"&lt;="&amp;$A25,Graphes[FC_AC_Solution],"&lt;&gt;0")</f>
        <v>21</v>
      </c>
      <c r="D25">
        <f>COUNTIFS(Graphes[FC_AC_30_Temps],"&lt;="&amp;$A25,Graphes[FC_AC_30_Solution],"&lt;&gt;0")</f>
        <v>38</v>
      </c>
      <c r="E25">
        <f>COUNTIFS(Graphes[DS_Temps],"&lt;="&amp;$A25,Graphes[DS_Solution],"&lt;&gt;0")</f>
        <v>49</v>
      </c>
      <c r="L25" t="s">
        <v>59</v>
      </c>
      <c r="M25" s="5">
        <f>IF(VLOOKUP($L25,Graphes[],41,FALSE)&gt;=0,VLOOKUP($L25,Graphes[],41,FALSE),"non résolu")</f>
        <v>0.61538461538461542</v>
      </c>
      <c r="N25" s="5">
        <f>IF(VLOOKUP($L25,Graphes[],33,FALSE)&gt;=0,VLOOKUP($L25,Graphes[],33,FALSE),"non résolu")</f>
        <v>0.30769230769230771</v>
      </c>
      <c r="O25" s="5">
        <f>IF(VLOOKUP($L25,Graphes[],25,FALSE)&gt;=0,VLOOKUP($L25,Graphes[],25,FALSE),"non résolu")</f>
        <v>0.30769230769230771</v>
      </c>
      <c r="P25" s="5">
        <f>IF(VLOOKUP($L25,Graphes[],9,FALSE)&gt;=0,VLOOKUP($L25,Graphes[],9,FALSE),"non résolu")</f>
        <v>0.61538461538461542</v>
      </c>
      <c r="R25" t="s">
        <v>43</v>
      </c>
      <c r="S25">
        <f>VLOOKUP($R25,Graphes[],5,FALSE)*VLOOKUP($R25,Graphes[],7,FALSE)*VLOOKUP($R25,Graphes[],7,FALSE)</f>
        <v>3038958</v>
      </c>
      <c r="T25" s="6">
        <f>IF(VLOOKUP($R25,Graphes[],40,FALSE)&gt;0,VLOOKUP($R25,Graphes[],42,FALSE),"non")</f>
        <v>0.79299187660217196</v>
      </c>
      <c r="U25" s="6">
        <f>IF(VLOOKUP($R25,Graphes[],32,FALSE)&gt;0,VLOOKUP($R25,Graphes[],34,FALSE),"non")</f>
        <v>6.4327714443206698</v>
      </c>
      <c r="V25" s="6">
        <f>IF(VLOOKUP($R25,Graphes[],24,FALSE)&gt;0,VLOOKUP($R25,Graphes[],26,FALSE),"non")</f>
        <v>0.32000756263732899</v>
      </c>
      <c r="W25" s="6">
        <f>IF(VLOOKUP($R25,Graphes[],8,FALSE)&gt;0,VLOOKUP($R25,Graphes[],10,FALSE),"non")</f>
        <v>6.8870306015014607E-2</v>
      </c>
      <c r="Y25" t="s">
        <v>43</v>
      </c>
      <c r="Z25">
        <f>VLOOKUP($Y25,Graphes[],43,FALSE)</f>
        <v>270</v>
      </c>
      <c r="AA25">
        <f>VLOOKUP($Y25,Graphes[],35,FALSE)</f>
        <v>110</v>
      </c>
      <c r="AB25">
        <f>VLOOKUP($Y25,Graphes[],27,FALSE)</f>
        <v>110</v>
      </c>
      <c r="AC25">
        <f>VLOOKUP($Y25,Graphes[],11,FALSE)</f>
        <v>270</v>
      </c>
      <c r="AE25">
        <v>2.2999999999999998</v>
      </c>
      <c r="AF25">
        <f>COUNTIFS(Graphes[DS_Temps],"&lt;="&amp;$AE25,Graphes[DS_Temps],"&lt;&gt;0")</f>
        <v>49</v>
      </c>
      <c r="AG25">
        <f>COUNTIFS(Graphes[DS_sans_clique_Temps],"&lt;="&amp;$AE25,Graphes[DS_sans_clique_Temps],"&lt;&gt;0")</f>
        <v>51</v>
      </c>
      <c r="AH25">
        <f>COUNTIFS(Graphes[FC_AC_30_Temps],"&lt;="&amp;$AE25,Graphes[FC_AC_30_Temps],"&lt;&gt;0")</f>
        <v>38</v>
      </c>
      <c r="AI25">
        <f>COUNTIFS(Graphes[FC_AC_30_sans_clique_Temps],"&lt;="&amp;$AE25,Graphes[FC_AC_30_sans_clique_Temps],"&lt;&gt;0")</f>
        <v>43</v>
      </c>
    </row>
    <row r="26" spans="1:35" x14ac:dyDescent="0.25">
      <c r="A26">
        <v>2.4</v>
      </c>
      <c r="B26">
        <f>COUNTIFS(Graphes[FC_Temps],"&lt;="&amp;$A26,Graphes[FC_Solution],"&lt;&gt;0")</f>
        <v>48</v>
      </c>
      <c r="C26">
        <f>COUNTIFS(Graphes[FC_AC_Temps],"&lt;="&amp;$A26,Graphes[FC_AC_Solution],"&lt;&gt;0")</f>
        <v>21</v>
      </c>
      <c r="D26">
        <f>COUNTIFS(Graphes[FC_AC_30_Temps],"&lt;="&amp;$A26,Graphes[FC_AC_30_Solution],"&lt;&gt;0")</f>
        <v>39</v>
      </c>
      <c r="E26">
        <f>COUNTIFS(Graphes[DS_Temps],"&lt;="&amp;$A26,Graphes[DS_Solution],"&lt;&gt;0")</f>
        <v>49</v>
      </c>
      <c r="L26" t="s">
        <v>55</v>
      </c>
      <c r="M26" s="5">
        <f>IF(VLOOKUP($L26,Graphes[],41,FALSE)&gt;=0,VLOOKUP($L26,Graphes[],41,FALSE),"non résolu")</f>
        <v>0</v>
      </c>
      <c r="N26" s="5">
        <f>IF(VLOOKUP($L26,Graphes[],33,FALSE)&gt;=0,VLOOKUP($L26,Graphes[],33,FALSE),"non résolu")</f>
        <v>0</v>
      </c>
      <c r="O26" s="5">
        <f>IF(VLOOKUP($L26,Graphes[],25,FALSE)&gt;=0,VLOOKUP($L26,Graphes[],25,FALSE),"non résolu")</f>
        <v>0</v>
      </c>
      <c r="P26" s="5">
        <f>IF(VLOOKUP($L26,Graphes[],9,FALSE)&gt;=0,VLOOKUP($L26,Graphes[],9,FALSE),"non résolu")</f>
        <v>0</v>
      </c>
      <c r="R26" t="s">
        <v>56</v>
      </c>
      <c r="S26">
        <f>VLOOKUP($R26,Graphes[],5,FALSE)*VLOOKUP($R26,Graphes[],7,FALSE)*VLOOKUP($R26,Graphes[],7,FALSE)</f>
        <v>3693600</v>
      </c>
      <c r="T26" s="6">
        <f>IF(VLOOKUP($R26,Graphes[],40,FALSE)&gt;0,VLOOKUP($R26,Graphes[],42,FALSE),"non")</f>
        <v>4.6971321105956997E-2</v>
      </c>
      <c r="U26" s="6">
        <f>IF(VLOOKUP($R26,Graphes[],32,FALSE)&gt;0,VLOOKUP($R26,Graphes[],34,FALSE),"non")</f>
        <v>2.1006999015808101</v>
      </c>
      <c r="V26" s="6">
        <f>IF(VLOOKUP($R26,Graphes[],24,FALSE)&gt;0,VLOOKUP($R26,Graphes[],26,FALSE),"non")</f>
        <v>0.428997993469238</v>
      </c>
      <c r="W26" s="6">
        <f>IF(VLOOKUP($R26,Graphes[],8,FALSE)&gt;0,VLOOKUP($R26,Graphes[],10,FALSE),"non")</f>
        <v>6.4957141876220703E-2</v>
      </c>
      <c r="Y26" t="s">
        <v>56</v>
      </c>
      <c r="Z26">
        <f>VLOOKUP($Y26,Graphes[],43,FALSE)</f>
        <v>147</v>
      </c>
      <c r="AA26">
        <f>VLOOKUP($Y26,Graphes[],35,FALSE)</f>
        <v>91</v>
      </c>
      <c r="AB26">
        <f>VLOOKUP($Y26,Graphes[],27,FALSE)</f>
        <v>91</v>
      </c>
      <c r="AC26">
        <f>VLOOKUP($Y26,Graphes[],11,FALSE)</f>
        <v>147</v>
      </c>
      <c r="AE26">
        <v>2.4</v>
      </c>
      <c r="AF26">
        <f>COUNTIFS(Graphes[DS_Temps],"&lt;="&amp;$AE26,Graphes[DS_Temps],"&lt;&gt;0")</f>
        <v>49</v>
      </c>
      <c r="AG26">
        <f>COUNTIFS(Graphes[DS_sans_clique_Temps],"&lt;="&amp;$AE26,Graphes[DS_sans_clique_Temps],"&lt;&gt;0")</f>
        <v>52</v>
      </c>
      <c r="AH26">
        <f>COUNTIFS(Graphes[FC_AC_30_Temps],"&lt;="&amp;$AE26,Graphes[FC_AC_30_Temps],"&lt;&gt;0")</f>
        <v>39</v>
      </c>
      <c r="AI26">
        <f>COUNTIFS(Graphes[FC_AC_30_sans_clique_Temps],"&lt;="&amp;$AE26,Graphes[FC_AC_30_sans_clique_Temps],"&lt;&gt;0")</f>
        <v>43</v>
      </c>
    </row>
    <row r="27" spans="1:35" x14ac:dyDescent="0.25">
      <c r="A27">
        <v>2.5</v>
      </c>
      <c r="B27">
        <f>COUNTIFS(Graphes[FC_Temps],"&lt;="&amp;$A27,Graphes[FC_Solution],"&lt;&gt;0")</f>
        <v>48</v>
      </c>
      <c r="C27">
        <f>COUNTIFS(Graphes[FC_AC_Temps],"&lt;="&amp;$A27,Graphes[FC_AC_Solution],"&lt;&gt;0")</f>
        <v>21</v>
      </c>
      <c r="D27">
        <f>COUNTIFS(Graphes[FC_AC_30_Temps],"&lt;="&amp;$A27,Graphes[FC_AC_30_Solution],"&lt;&gt;0")</f>
        <v>40</v>
      </c>
      <c r="E27">
        <f>COUNTIFS(Graphes[DS_Temps],"&lt;="&amp;$A27,Graphes[DS_Solution],"&lt;&gt;0")</f>
        <v>49</v>
      </c>
      <c r="L27" t="s">
        <v>31</v>
      </c>
      <c r="M27" s="5">
        <f>IF(VLOOKUP($L27,Graphes[],41,FALSE)&gt;=0,VLOOKUP($L27,Graphes[],41,FALSE),"non résolu")</f>
        <v>0</v>
      </c>
      <c r="N27" s="5">
        <f>IF(VLOOKUP($L27,Graphes[],33,FALSE)&gt;=0,VLOOKUP($L27,Graphes[],33,FALSE),"non résolu")</f>
        <v>0</v>
      </c>
      <c r="O27" s="5">
        <f>IF(VLOOKUP($L27,Graphes[],25,FALSE)&gt;=0,VLOOKUP($L27,Graphes[],25,FALSE),"non résolu")</f>
        <v>0</v>
      </c>
      <c r="P27" s="5">
        <f>IF(VLOOKUP($L27,Graphes[],9,FALSE)&gt;=0,VLOOKUP($L27,Graphes[],9,FALSE),"non résolu")</f>
        <v>0</v>
      </c>
      <c r="R27" t="s">
        <v>17</v>
      </c>
      <c r="S27">
        <f>VLOOKUP($R27,Graphes[],5,FALSE)*VLOOKUP($R27,Graphes[],7,FALSE)*VLOOKUP($R27,Graphes[],7,FALSE)</f>
        <v>4644864</v>
      </c>
      <c r="T27" s="6">
        <f>IF(VLOOKUP($R27,Graphes[],40,FALSE)&gt;0,VLOOKUP($R27,Graphes[],42,FALSE),"non")</f>
        <v>0.19113755226135201</v>
      </c>
      <c r="U27" s="6">
        <f>IF(VLOOKUP($R27,Graphes[],32,FALSE)&gt;0,VLOOKUP($R27,Graphes[],34,FALSE),"non")</f>
        <v>0.192133903503417</v>
      </c>
      <c r="V27" s="6">
        <f>IF(VLOOKUP($R27,Graphes[],24,FALSE)&gt;0,VLOOKUP($R27,Graphes[],26,FALSE),"non")</f>
        <v>0.32809686660766602</v>
      </c>
      <c r="W27" s="6">
        <f>IF(VLOOKUP($R27,Graphes[],8,FALSE)&gt;0,VLOOKUP($R27,Graphes[],10,FALSE),"non")</f>
        <v>0.18265151977538999</v>
      </c>
      <c r="Y27" t="s">
        <v>17</v>
      </c>
      <c r="Z27">
        <f>VLOOKUP($Y27,Graphes[],43,FALSE)</f>
        <v>129</v>
      </c>
      <c r="AA27">
        <f>VLOOKUP($Y27,Graphes[],35,FALSE)</f>
        <v>129</v>
      </c>
      <c r="AB27">
        <f>VLOOKUP($Y27,Graphes[],27,FALSE)</f>
        <v>129</v>
      </c>
      <c r="AC27">
        <f>VLOOKUP($Y27,Graphes[],11,FALSE)</f>
        <v>129</v>
      </c>
      <c r="AE27">
        <v>2.5</v>
      </c>
      <c r="AF27">
        <f>COUNTIFS(Graphes[DS_Temps],"&lt;="&amp;$AE27,Graphes[DS_Temps],"&lt;&gt;0")</f>
        <v>49</v>
      </c>
      <c r="AG27">
        <f>COUNTIFS(Graphes[DS_sans_clique_Temps],"&lt;="&amp;$AE27,Graphes[DS_sans_clique_Temps],"&lt;&gt;0")</f>
        <v>52</v>
      </c>
      <c r="AH27">
        <f>COUNTIFS(Graphes[FC_AC_30_Temps],"&lt;="&amp;$AE27,Graphes[FC_AC_30_Temps],"&lt;&gt;0")</f>
        <v>40</v>
      </c>
      <c r="AI27">
        <f>COUNTIFS(Graphes[FC_AC_30_sans_clique_Temps],"&lt;="&amp;$AE27,Graphes[FC_AC_30_sans_clique_Temps],"&lt;&gt;0")</f>
        <v>43</v>
      </c>
    </row>
    <row r="28" spans="1:35" x14ac:dyDescent="0.25">
      <c r="A28">
        <v>2.6</v>
      </c>
      <c r="B28">
        <f>COUNTIFS(Graphes[FC_Temps],"&lt;="&amp;$A28,Graphes[FC_Solution],"&lt;&gt;0")</f>
        <v>48</v>
      </c>
      <c r="C28">
        <f>COUNTIFS(Graphes[FC_AC_Temps],"&lt;="&amp;$A28,Graphes[FC_AC_Solution],"&lt;&gt;0")</f>
        <v>22</v>
      </c>
      <c r="D28">
        <f>COUNTIFS(Graphes[FC_AC_30_Temps],"&lt;="&amp;$A28,Graphes[FC_AC_30_Solution],"&lt;&gt;0")</f>
        <v>40</v>
      </c>
      <c r="E28">
        <f>COUNTIFS(Graphes[DS_Temps],"&lt;="&amp;$A28,Graphes[DS_Solution],"&lt;&gt;0")</f>
        <v>50</v>
      </c>
      <c r="L28" t="s">
        <v>67</v>
      </c>
      <c r="M28" s="5">
        <f>IF(VLOOKUP($L28,Graphes[],41,FALSE)&gt;=0,VLOOKUP($L28,Graphes[],41,FALSE),"non résolu")</f>
        <v>0</v>
      </c>
      <c r="N28" s="5">
        <f>IF(VLOOKUP($L28,Graphes[],33,FALSE)&gt;=0,VLOOKUP($L28,Graphes[],33,FALSE),"non résolu")</f>
        <v>0</v>
      </c>
      <c r="O28" s="5">
        <f>IF(VLOOKUP($L28,Graphes[],25,FALSE)&gt;=0,VLOOKUP($L28,Graphes[],25,FALSE),"non résolu")</f>
        <v>0</v>
      </c>
      <c r="P28" s="5">
        <f>IF(VLOOKUP($L28,Graphes[],9,FALSE)&gt;=0,VLOOKUP($L28,Graphes[],9,FALSE),"non résolu")</f>
        <v>0</v>
      </c>
      <c r="R28" t="s">
        <v>18</v>
      </c>
      <c r="S28">
        <f>VLOOKUP($R28,Graphes[],5,FALSE)*VLOOKUP($R28,Graphes[],7,FALSE)*VLOOKUP($R28,Graphes[],7,FALSE)</f>
        <v>4973858</v>
      </c>
      <c r="T28" s="6">
        <f>IF(VLOOKUP($R28,Graphes[],40,FALSE)&gt;0,VLOOKUP($R28,Graphes[],42,FALSE),"non")</f>
        <v>0.13973474502563399</v>
      </c>
      <c r="U28" s="6">
        <f>IF(VLOOKUP($R28,Graphes[],32,FALSE)&gt;0,VLOOKUP($R28,Graphes[],34,FALSE),"non")</f>
        <v>0.193132638931274</v>
      </c>
      <c r="V28" s="6">
        <f>IF(VLOOKUP($R28,Graphes[],24,FALSE)&gt;0,VLOOKUP($R28,Graphes[],26,FALSE),"non")</f>
        <v>0.22409653663635201</v>
      </c>
      <c r="W28" s="6">
        <f>IF(VLOOKUP($R28,Graphes[],8,FALSE)&gt;0,VLOOKUP($R28,Graphes[],10,FALSE),"non")</f>
        <v>0.15770053863525299</v>
      </c>
      <c r="Y28" t="s">
        <v>18</v>
      </c>
      <c r="Z28">
        <f>VLOOKUP($Y28,Graphes[],43,FALSE)</f>
        <v>78</v>
      </c>
      <c r="AA28">
        <f>VLOOKUP($Y28,Graphes[],35,FALSE)</f>
        <v>78</v>
      </c>
      <c r="AB28">
        <f>VLOOKUP($Y28,Graphes[],27,FALSE)</f>
        <v>78</v>
      </c>
      <c r="AC28">
        <f>VLOOKUP($Y28,Graphes[],11,FALSE)</f>
        <v>78</v>
      </c>
      <c r="AE28">
        <v>2.6</v>
      </c>
      <c r="AF28">
        <f>COUNTIFS(Graphes[DS_Temps],"&lt;="&amp;$AE28,Graphes[DS_Temps],"&lt;&gt;0")</f>
        <v>50</v>
      </c>
      <c r="AG28">
        <f>COUNTIFS(Graphes[DS_sans_clique_Temps],"&lt;="&amp;$AE28,Graphes[DS_sans_clique_Temps],"&lt;&gt;0")</f>
        <v>52</v>
      </c>
      <c r="AH28">
        <f>COUNTIFS(Graphes[FC_AC_30_Temps],"&lt;="&amp;$AE28,Graphes[FC_AC_30_Temps],"&lt;&gt;0")</f>
        <v>40</v>
      </c>
      <c r="AI28">
        <f>COUNTIFS(Graphes[FC_AC_30_sans_clique_Temps],"&lt;="&amp;$AE28,Graphes[FC_AC_30_sans_clique_Temps],"&lt;&gt;0")</f>
        <v>43</v>
      </c>
    </row>
    <row r="29" spans="1:35" x14ac:dyDescent="0.25">
      <c r="A29">
        <v>2.7</v>
      </c>
      <c r="B29">
        <f>COUNTIFS(Graphes[FC_Temps],"&lt;="&amp;$A29,Graphes[FC_Solution],"&lt;&gt;0")</f>
        <v>48</v>
      </c>
      <c r="C29">
        <f>COUNTIFS(Graphes[FC_AC_Temps],"&lt;="&amp;$A29,Graphes[FC_AC_Solution],"&lt;&gt;0")</f>
        <v>23</v>
      </c>
      <c r="D29">
        <f>COUNTIFS(Graphes[FC_AC_30_Temps],"&lt;="&amp;$A29,Graphes[FC_AC_30_Solution],"&lt;&gt;0")</f>
        <v>40</v>
      </c>
      <c r="E29">
        <f>COUNTIFS(Graphes[DS_Temps],"&lt;="&amp;$A29,Graphes[DS_Solution],"&lt;&gt;0")</f>
        <v>52</v>
      </c>
      <c r="L29" t="s">
        <v>40</v>
      </c>
      <c r="M29" s="5">
        <f>IF(VLOOKUP($L29,Graphes[],41,FALSE)&gt;=0,VLOOKUP($L29,Graphes[],41,FALSE),"non résolu")</f>
        <v>7.1428571428571425E-2</v>
      </c>
      <c r="N29" s="5">
        <f>IF(VLOOKUP($L29,Graphes[],33,FALSE)&gt;=0,VLOOKUP($L29,Graphes[],33,FALSE),"non résolu")</f>
        <v>0</v>
      </c>
      <c r="O29" s="5">
        <f>IF(VLOOKUP($L29,Graphes[],25,FALSE)&gt;=0,VLOOKUP($L29,Graphes[],25,FALSE),"non résolu")</f>
        <v>0</v>
      </c>
      <c r="P29" s="5">
        <f>IF(VLOOKUP($L29,Graphes[],9,FALSE)&gt;=0,VLOOKUP($L29,Graphes[],9,FALSE),"non résolu")</f>
        <v>7.1428571428571425E-2</v>
      </c>
      <c r="R29" t="s">
        <v>20</v>
      </c>
      <c r="S29">
        <f>VLOOKUP($R29,Graphes[],5,FALSE)*VLOOKUP($R29,Graphes[],7,FALSE)*VLOOKUP($R29,Graphes[],7,FALSE)</f>
        <v>5505500</v>
      </c>
      <c r="T29" s="6">
        <f>IF(VLOOKUP($R29,Graphes[],40,FALSE)&gt;0,VLOOKUP($R29,Graphes[],42,FALSE),"non")</f>
        <v>10.954174280166599</v>
      </c>
      <c r="U29" s="6">
        <f>IF(VLOOKUP($R29,Graphes[],32,FALSE)&gt;0,VLOOKUP($R29,Graphes[],34,FALSE),"non")</f>
        <v>5.3523237705230704</v>
      </c>
      <c r="V29" s="6">
        <f>IF(VLOOKUP($R29,Graphes[],24,FALSE)&gt;0,VLOOKUP($R29,Graphes[],26,FALSE),"non")</f>
        <v>5.7964975833892796</v>
      </c>
      <c r="W29" s="6">
        <f>IF(VLOOKUP($R29,Graphes[],8,FALSE)&gt;0,VLOOKUP($R29,Graphes[],10,FALSE),"non")</f>
        <v>4.4166312217712402</v>
      </c>
      <c r="Y29" t="s">
        <v>20</v>
      </c>
      <c r="Z29">
        <f>VLOOKUP($Y29,Graphes[],43,FALSE)</f>
        <v>1052</v>
      </c>
      <c r="AA29">
        <f>VLOOKUP($Y29,Graphes[],35,FALSE)</f>
        <v>994</v>
      </c>
      <c r="AB29">
        <f>VLOOKUP($Y29,Graphes[],27,FALSE)</f>
        <v>994</v>
      </c>
      <c r="AC29">
        <f>VLOOKUP($Y29,Graphes[],11,FALSE)</f>
        <v>1052</v>
      </c>
      <c r="AE29">
        <v>2.7</v>
      </c>
      <c r="AF29">
        <f>COUNTIFS(Graphes[DS_Temps],"&lt;="&amp;$AE29,Graphes[DS_Temps],"&lt;&gt;0")</f>
        <v>52</v>
      </c>
      <c r="AG29">
        <f>COUNTIFS(Graphes[DS_sans_clique_Temps],"&lt;="&amp;$AE29,Graphes[DS_sans_clique_Temps],"&lt;&gt;0")</f>
        <v>52</v>
      </c>
      <c r="AH29">
        <f>COUNTIFS(Graphes[FC_AC_30_Temps],"&lt;="&amp;$AE29,Graphes[FC_AC_30_Temps],"&lt;&gt;0")</f>
        <v>40</v>
      </c>
      <c r="AI29">
        <f>COUNTIFS(Graphes[FC_AC_30_sans_clique_Temps],"&lt;="&amp;$AE29,Graphes[FC_AC_30_sans_clique_Temps],"&lt;&gt;0")</f>
        <v>45</v>
      </c>
    </row>
    <row r="30" spans="1:35" x14ac:dyDescent="0.25">
      <c r="A30">
        <v>2.8</v>
      </c>
      <c r="B30">
        <f>COUNTIFS(Graphes[FC_Temps],"&lt;="&amp;$A30,Graphes[FC_Solution],"&lt;&gt;0")</f>
        <v>49</v>
      </c>
      <c r="C30">
        <f>COUNTIFS(Graphes[FC_AC_Temps],"&lt;="&amp;$A30,Graphes[FC_AC_Solution],"&lt;&gt;0")</f>
        <v>23</v>
      </c>
      <c r="D30">
        <f>COUNTIFS(Graphes[FC_AC_30_Temps],"&lt;="&amp;$A30,Graphes[FC_AC_30_Solution],"&lt;&gt;0")</f>
        <v>40</v>
      </c>
      <c r="E30">
        <f>COUNTIFS(Graphes[DS_Temps],"&lt;="&amp;$A30,Graphes[DS_Solution],"&lt;&gt;0")</f>
        <v>52</v>
      </c>
      <c r="L30" t="s">
        <v>71</v>
      </c>
      <c r="M30" s="5">
        <f>IF(VLOOKUP($L30,Graphes[],41,FALSE)&gt;=0,VLOOKUP($L30,Graphes[],41,FALSE),"non résolu")</f>
        <v>1.2</v>
      </c>
      <c r="N30" s="5">
        <f>IF(VLOOKUP($L30,Graphes[],33,FALSE)&gt;=0,VLOOKUP($L30,Graphes[],33,FALSE),"non résolu")</f>
        <v>1.4</v>
      </c>
      <c r="O30" s="5">
        <f>IF(VLOOKUP($L30,Graphes[],25,FALSE)&gt;=0,VLOOKUP($L30,Graphes[],25,FALSE),"non résolu")</f>
        <v>1.4</v>
      </c>
      <c r="P30" s="5">
        <f>IF(VLOOKUP($L30,Graphes[],9,FALSE)&gt;=0,VLOOKUP($L30,Graphes[],9,FALSE),"non résolu")</f>
        <v>1.2</v>
      </c>
      <c r="R30" t="s">
        <v>57</v>
      </c>
      <c r="S30">
        <f>VLOOKUP($R30,Graphes[],5,FALSE)*VLOOKUP($R30,Graphes[],7,FALSE)*VLOOKUP($R30,Graphes[],7,FALSE)</f>
        <v>6471850</v>
      </c>
      <c r="T30" s="6">
        <f>IF(VLOOKUP($R30,Graphes[],40,FALSE)&gt;0,VLOOKUP($R30,Graphes[],42,FALSE),"non")</f>
        <v>9.2943906784057603E-2</v>
      </c>
      <c r="U30" s="6">
        <f>IF(VLOOKUP($R30,Graphes[],32,FALSE)&gt;0,VLOOKUP($R30,Graphes[],34,FALSE),"non")</f>
        <v>2.9281845092773402</v>
      </c>
      <c r="V30" s="6">
        <f>IF(VLOOKUP($R30,Graphes[],24,FALSE)&gt;0,VLOOKUP($R30,Graphes[],26,FALSE),"non")</f>
        <v>0.65478253364562899</v>
      </c>
      <c r="W30" s="6">
        <f>IF(VLOOKUP($R30,Graphes[],8,FALSE)&gt;0,VLOOKUP($R30,Graphes[],10,FALSE),"non")</f>
        <v>0.101937770843505</v>
      </c>
      <c r="Y30" t="s">
        <v>57</v>
      </c>
      <c r="Z30">
        <f>VLOOKUP($Y30,Graphes[],43,FALSE)</f>
        <v>175</v>
      </c>
      <c r="AA30">
        <f>VLOOKUP($Y30,Graphes[],35,FALSE)</f>
        <v>111</v>
      </c>
      <c r="AB30">
        <f>VLOOKUP($Y30,Graphes[],27,FALSE)</f>
        <v>111</v>
      </c>
      <c r="AC30">
        <f>VLOOKUP($Y30,Graphes[],11,FALSE)</f>
        <v>175</v>
      </c>
      <c r="AE30">
        <v>2.9</v>
      </c>
      <c r="AF30">
        <f>COUNTIFS(Graphes[DS_Temps],"&lt;="&amp;$AE30,Graphes[DS_Temps],"&lt;&gt;0")</f>
        <v>53</v>
      </c>
      <c r="AG30">
        <f>COUNTIFS(Graphes[DS_sans_clique_Temps],"&lt;="&amp;$AE30,Graphes[DS_sans_clique_Temps],"&lt;&gt;0")</f>
        <v>52</v>
      </c>
      <c r="AH30">
        <f>COUNTIFS(Graphes[FC_AC_30_Temps],"&lt;="&amp;$AE30,Graphes[FC_AC_30_Temps],"&lt;&gt;0")</f>
        <v>41</v>
      </c>
      <c r="AI30">
        <f>COUNTIFS(Graphes[FC_AC_30_sans_clique_Temps],"&lt;="&amp;$AE30,Graphes[FC_AC_30_sans_clique_Temps],"&lt;&gt;0")</f>
        <v>46</v>
      </c>
    </row>
    <row r="31" spans="1:35" x14ac:dyDescent="0.25">
      <c r="A31">
        <v>2.9</v>
      </c>
      <c r="B31">
        <f>COUNTIFS(Graphes[FC_Temps],"&lt;="&amp;$A31,Graphes[FC_Solution],"&lt;&gt;0")</f>
        <v>50</v>
      </c>
      <c r="C31">
        <f>COUNTIFS(Graphes[FC_AC_Temps],"&lt;="&amp;$A31,Graphes[FC_AC_Solution],"&lt;&gt;0")</f>
        <v>23</v>
      </c>
      <c r="D31">
        <f>COUNTIFS(Graphes[FC_AC_30_Temps],"&lt;="&amp;$A31,Graphes[FC_AC_30_Solution],"&lt;&gt;0")</f>
        <v>41</v>
      </c>
      <c r="E31">
        <f>COUNTIFS(Graphes[DS_Temps],"&lt;="&amp;$A31,Graphes[DS_Solution],"&lt;&gt;0")</f>
        <v>53</v>
      </c>
      <c r="L31" t="s">
        <v>72</v>
      </c>
      <c r="M31" s="5">
        <f>IF(VLOOKUP($L31,Graphes[],41,FALSE)&gt;=0,VLOOKUP($L31,Graphes[],41,FALSE),"non résolu")</f>
        <v>1.6</v>
      </c>
      <c r="N31" s="5">
        <f>IF(VLOOKUP($L31,Graphes[],33,FALSE)&gt;=0,VLOOKUP($L31,Graphes[],33,FALSE),"non résolu")</f>
        <v>1</v>
      </c>
      <c r="O31" s="5">
        <f>IF(VLOOKUP($L31,Graphes[],25,FALSE)&gt;=0,VLOOKUP($L31,Graphes[],25,FALSE),"non résolu")</f>
        <v>1</v>
      </c>
      <c r="P31" s="5">
        <f>IF(VLOOKUP($L31,Graphes[],9,FALSE)&gt;=0,VLOOKUP($L31,Graphes[],9,FALSE),"non résolu")</f>
        <v>1.6</v>
      </c>
      <c r="R31" t="s">
        <v>58</v>
      </c>
      <c r="S31">
        <f>VLOOKUP($R31,Graphes[],5,FALSE)*VLOOKUP($R31,Graphes[],7,FALSE)*VLOOKUP($R31,Graphes[],7,FALSE)</f>
        <v>9796160</v>
      </c>
      <c r="T31" s="6">
        <f>IF(VLOOKUP($R31,Graphes[],40,FALSE)&gt;0,VLOOKUP($R31,Graphes[],42,FALSE),"non")</f>
        <v>0.217869281768798</v>
      </c>
      <c r="U31" s="6">
        <f>IF(VLOOKUP($R31,Graphes[],32,FALSE)&gt;0,VLOOKUP($R31,Graphes[],34,FALSE),"non")</f>
        <v>7.1185894012451101</v>
      </c>
      <c r="V31" s="6">
        <f>IF(VLOOKUP($R31,Graphes[],24,FALSE)&gt;0,VLOOKUP($R31,Graphes[],26,FALSE),"non")</f>
        <v>0.88890838623046797</v>
      </c>
      <c r="W31" s="6">
        <f>IF(VLOOKUP($R31,Graphes[],8,FALSE)&gt;0,VLOOKUP($R31,Graphes[],10,FALSE),"non")</f>
        <v>0.17389106750488201</v>
      </c>
      <c r="Y31" t="s">
        <v>58</v>
      </c>
      <c r="Z31">
        <f>VLOOKUP($Y31,Graphes[],43,FALSE)</f>
        <v>223</v>
      </c>
      <c r="AA31">
        <f>VLOOKUP($Y31,Graphes[],35,FALSE)</f>
        <v>133</v>
      </c>
      <c r="AB31">
        <f>VLOOKUP($Y31,Graphes[],27,FALSE)</f>
        <v>133</v>
      </c>
      <c r="AC31">
        <f>VLOOKUP($Y31,Graphes[],11,FALSE)</f>
        <v>223</v>
      </c>
      <c r="AE31">
        <v>3.1</v>
      </c>
      <c r="AF31">
        <f>COUNTIFS(Graphes[DS_Temps],"&lt;="&amp;$AE31,Graphes[DS_Temps],"&lt;&gt;0")</f>
        <v>54</v>
      </c>
      <c r="AG31">
        <f>COUNTIFS(Graphes[DS_sans_clique_Temps],"&lt;="&amp;$AE31,Graphes[DS_sans_clique_Temps],"&lt;&gt;0")</f>
        <v>52</v>
      </c>
      <c r="AH31">
        <f>COUNTIFS(Graphes[FC_AC_30_Temps],"&lt;="&amp;$AE31,Graphes[FC_AC_30_Temps],"&lt;&gt;0")</f>
        <v>42</v>
      </c>
      <c r="AI31">
        <f>COUNTIFS(Graphes[FC_AC_30_sans_clique_Temps],"&lt;="&amp;$AE31,Graphes[FC_AC_30_sans_clique_Temps],"&lt;&gt;0")</f>
        <v>47</v>
      </c>
    </row>
    <row r="32" spans="1:35" x14ac:dyDescent="0.25">
      <c r="A32">
        <v>3</v>
      </c>
      <c r="B32">
        <f>COUNTIFS(Graphes[FC_Temps],"&lt;="&amp;$A32,Graphes[FC_Solution],"&lt;&gt;0")</f>
        <v>50</v>
      </c>
      <c r="C32">
        <f>COUNTIFS(Graphes[FC_AC_Temps],"&lt;="&amp;$A32,Graphes[FC_AC_Solution],"&lt;&gt;0")</f>
        <v>25</v>
      </c>
      <c r="D32">
        <f>COUNTIFS(Graphes[FC_AC_30_Temps],"&lt;="&amp;$A32,Graphes[FC_AC_30_Solution],"&lt;&gt;0")</f>
        <v>41</v>
      </c>
      <c r="E32">
        <f>COUNTIFS(Graphes[DS_Temps],"&lt;="&amp;$A32,Graphes[DS_Solution],"&lt;&gt;0")</f>
        <v>53</v>
      </c>
      <c r="L32" t="s">
        <v>45</v>
      </c>
      <c r="M32" s="5">
        <f>IF(VLOOKUP($L32,Graphes[],41,FALSE)&gt;=0,VLOOKUP($L32,Graphes[],41,FALSE),"non résolu")</f>
        <v>0</v>
      </c>
      <c r="N32" s="5">
        <f>IF(VLOOKUP($L32,Graphes[],33,FALSE)&gt;=0,VLOOKUP($L32,Graphes[],33,FALSE),"non résolu")</f>
        <v>0</v>
      </c>
      <c r="O32" s="5">
        <f>IF(VLOOKUP($L32,Graphes[],25,FALSE)&gt;=0,VLOOKUP($L32,Graphes[],25,FALSE),"non résolu")</f>
        <v>0</v>
      </c>
      <c r="P32" s="5">
        <f>IF(VLOOKUP($L32,Graphes[],9,FALSE)&gt;=0,VLOOKUP($L32,Graphes[],9,FALSE),"non résolu")</f>
        <v>0</v>
      </c>
      <c r="R32" t="s">
        <v>38</v>
      </c>
      <c r="S32">
        <f>VLOOKUP($R32,Graphes[],5,FALSE)*VLOOKUP($R32,Graphes[],7,FALSE)*VLOOKUP($R32,Graphes[],7,FALSE)</f>
        <v>10546696</v>
      </c>
      <c r="T32" s="6">
        <f>IF(VLOOKUP($R32,Graphes[],40,FALSE)&gt;0,VLOOKUP($R32,Graphes[],42,FALSE),"non")</f>
        <v>0.63030147552490201</v>
      </c>
      <c r="U32" s="6">
        <f>IF(VLOOKUP($R32,Graphes[],32,FALSE)&gt;0,VLOOKUP($R32,Graphes[],34,FALSE),"non")</f>
        <v>2.9673588275909402</v>
      </c>
      <c r="V32" s="6">
        <f>IF(VLOOKUP($R32,Graphes[],24,FALSE)&gt;0,VLOOKUP($R32,Graphes[],26,FALSE),"non")</f>
        <v>1.3108167648315401</v>
      </c>
      <c r="W32" s="6">
        <f>IF(VLOOKUP($R32,Graphes[],8,FALSE)&gt;0,VLOOKUP($R32,Graphes[],10,FALSE),"non")</f>
        <v>0.77751970291137695</v>
      </c>
      <c r="Y32" t="s">
        <v>38</v>
      </c>
      <c r="Z32">
        <f>VLOOKUP($Y32,Graphes[],43,FALSE)</f>
        <v>500</v>
      </c>
      <c r="AA32">
        <f>VLOOKUP($Y32,Graphes[],35,FALSE)</f>
        <v>446</v>
      </c>
      <c r="AB32">
        <f>VLOOKUP($Y32,Graphes[],27,FALSE)</f>
        <v>446</v>
      </c>
      <c r="AC32">
        <f>VLOOKUP($Y32,Graphes[],11,FALSE)</f>
        <v>500</v>
      </c>
      <c r="AE32">
        <v>3.2</v>
      </c>
      <c r="AF32">
        <f>COUNTIFS(Graphes[DS_Temps],"&lt;="&amp;$AE32,Graphes[DS_Temps],"&lt;&gt;0")</f>
        <v>54</v>
      </c>
      <c r="AG32">
        <f>COUNTIFS(Graphes[DS_sans_clique_Temps],"&lt;="&amp;$AE32,Graphes[DS_sans_clique_Temps],"&lt;&gt;0")</f>
        <v>52</v>
      </c>
      <c r="AH32">
        <f>COUNTIFS(Graphes[FC_AC_30_Temps],"&lt;="&amp;$AE32,Graphes[FC_AC_30_Temps],"&lt;&gt;0")</f>
        <v>42</v>
      </c>
      <c r="AI32">
        <f>COUNTIFS(Graphes[FC_AC_30_sans_clique_Temps],"&lt;="&amp;$AE32,Graphes[FC_AC_30_sans_clique_Temps],"&lt;&gt;0")</f>
        <v>48</v>
      </c>
    </row>
    <row r="33" spans="1:35" x14ac:dyDescent="0.25">
      <c r="A33">
        <v>3.1</v>
      </c>
      <c r="B33">
        <f>COUNTIFS(Graphes[FC_Temps],"&lt;="&amp;$A33,Graphes[FC_Solution],"&lt;&gt;0")</f>
        <v>50</v>
      </c>
      <c r="C33">
        <f>COUNTIFS(Graphes[FC_AC_Temps],"&lt;="&amp;$A33,Graphes[FC_AC_Solution],"&lt;&gt;0")</f>
        <v>26</v>
      </c>
      <c r="D33">
        <f>COUNTIFS(Graphes[FC_AC_30_Temps],"&lt;="&amp;$A33,Graphes[FC_AC_30_Solution],"&lt;&gt;0")</f>
        <v>42</v>
      </c>
      <c r="E33">
        <f>COUNTIFS(Graphes[DS_Temps],"&lt;="&amp;$A33,Graphes[DS_Solution],"&lt;&gt;0")</f>
        <v>54</v>
      </c>
      <c r="L33" t="s">
        <v>69</v>
      </c>
      <c r="M33" s="5">
        <f>IF(VLOOKUP($L33,Graphes[],41,FALSE)&gt;=0,VLOOKUP($L33,Graphes[],41,FALSE),"non résolu")</f>
        <v>0</v>
      </c>
      <c r="N33" s="5">
        <f>IF(VLOOKUP($L33,Graphes[],33,FALSE)&gt;=0,VLOOKUP($L33,Graphes[],33,FALSE),"non résolu")</f>
        <v>0</v>
      </c>
      <c r="O33" s="5">
        <f>IF(VLOOKUP($L33,Graphes[],25,FALSE)&gt;=0,VLOOKUP($L33,Graphes[],25,FALSE),"non résolu")</f>
        <v>0</v>
      </c>
      <c r="P33" s="5">
        <f>IF(VLOOKUP($L33,Graphes[],9,FALSE)&gt;=0,VLOOKUP($L33,Graphes[],9,FALSE),"non résolu")</f>
        <v>0</v>
      </c>
      <c r="R33" t="s">
        <v>39</v>
      </c>
      <c r="S33">
        <f>VLOOKUP($R33,Graphes[],5,FALSE)*VLOOKUP($R33,Graphes[],7,FALSE)*VLOOKUP($R33,Graphes[],7,FALSE)</f>
        <v>10583676</v>
      </c>
      <c r="T33" s="6">
        <f>IF(VLOOKUP($R33,Graphes[],40,FALSE)&gt;0,VLOOKUP($R33,Graphes[],42,FALSE),"non")</f>
        <v>1.0879321098327599</v>
      </c>
      <c r="U33" s="6">
        <f>IF(VLOOKUP($R33,Graphes[],32,FALSE)&gt;0,VLOOKUP($R33,Graphes[],34,FALSE),"non")</f>
        <v>3.50932693481445</v>
      </c>
      <c r="V33" s="6">
        <f>IF(VLOOKUP($R33,Graphes[],24,FALSE)&gt;0,VLOOKUP($R33,Graphes[],26,FALSE),"non")</f>
        <v>1.4068801403045601</v>
      </c>
      <c r="W33" s="6">
        <f>IF(VLOOKUP($R33,Graphes[],8,FALSE)&gt;0,VLOOKUP($R33,Graphes[],10,FALSE),"non")</f>
        <v>0.62431287765502896</v>
      </c>
      <c r="Y33" t="s">
        <v>39</v>
      </c>
      <c r="Z33">
        <f>VLOOKUP($Y33,Graphes[],43,FALSE)</f>
        <v>476</v>
      </c>
      <c r="AA33">
        <f>VLOOKUP($Y33,Graphes[],35,FALSE)</f>
        <v>446</v>
      </c>
      <c r="AB33">
        <f>VLOOKUP($Y33,Graphes[],27,FALSE)</f>
        <v>446</v>
      </c>
      <c r="AC33">
        <f>VLOOKUP($Y33,Graphes[],11,FALSE)</f>
        <v>476</v>
      </c>
      <c r="AE33">
        <v>3.3</v>
      </c>
      <c r="AF33">
        <f>COUNTIFS(Graphes[DS_Temps],"&lt;="&amp;$AE33,Graphes[DS_Temps],"&lt;&gt;0")</f>
        <v>54</v>
      </c>
      <c r="AG33">
        <f>COUNTIFS(Graphes[DS_sans_clique_Temps],"&lt;="&amp;$AE33,Graphes[DS_sans_clique_Temps],"&lt;&gt;0")</f>
        <v>52</v>
      </c>
      <c r="AH33">
        <f>COUNTIFS(Graphes[FC_AC_30_Temps],"&lt;="&amp;$AE33,Graphes[FC_AC_30_Temps],"&lt;&gt;0")</f>
        <v>45</v>
      </c>
      <c r="AI33">
        <f>COUNTIFS(Graphes[FC_AC_30_sans_clique_Temps],"&lt;="&amp;$AE33,Graphes[FC_AC_30_sans_clique_Temps],"&lt;&gt;0")</f>
        <v>48</v>
      </c>
    </row>
    <row r="34" spans="1:35" x14ac:dyDescent="0.25">
      <c r="A34">
        <v>3.3</v>
      </c>
      <c r="B34">
        <f>COUNTIFS(Graphes[FC_Temps],"&lt;="&amp;$A34,Graphes[FC_Solution],"&lt;&gt;0")</f>
        <v>51</v>
      </c>
      <c r="C34">
        <f>COUNTIFS(Graphes[FC_AC_Temps],"&lt;="&amp;$A34,Graphes[FC_AC_Solution],"&lt;&gt;0")</f>
        <v>27</v>
      </c>
      <c r="D34">
        <f>COUNTIFS(Graphes[FC_AC_30_Temps],"&lt;="&amp;$A34,Graphes[FC_AC_30_Solution],"&lt;&gt;0")</f>
        <v>45</v>
      </c>
      <c r="E34">
        <f>COUNTIFS(Graphes[DS_Temps],"&lt;="&amp;$A34,Graphes[DS_Solution],"&lt;&gt;0")</f>
        <v>54</v>
      </c>
      <c r="L34" t="s">
        <v>68</v>
      </c>
      <c r="M34" s="5">
        <f>IF(VLOOKUP($L34,Graphes[],41,FALSE)&gt;=0,VLOOKUP($L34,Graphes[],41,FALSE),"non résolu")</f>
        <v>0</v>
      </c>
      <c r="N34" s="5">
        <f>IF(VLOOKUP($L34,Graphes[],33,FALSE)&gt;=0,VLOOKUP($L34,Graphes[],33,FALSE),"non résolu")</f>
        <v>0</v>
      </c>
      <c r="O34" s="5">
        <f>IF(VLOOKUP($L34,Graphes[],25,FALSE)&gt;=0,VLOOKUP($L34,Graphes[],25,FALSE),"non résolu")</f>
        <v>0</v>
      </c>
      <c r="P34" s="5">
        <f>IF(VLOOKUP($L34,Graphes[],9,FALSE)&gt;=0,VLOOKUP($L34,Graphes[],9,FALSE),"non résolu")</f>
        <v>0</v>
      </c>
      <c r="R34" t="s">
        <v>44</v>
      </c>
      <c r="S34">
        <f>VLOOKUP($R34,Graphes[],5,FALSE)*VLOOKUP($R34,Graphes[],7,FALSE)*VLOOKUP($R34,Graphes[],7,FALSE)</f>
        <v>15108600</v>
      </c>
      <c r="T34" s="6">
        <f>IF(VLOOKUP($R34,Graphes[],40,FALSE)&gt;0,VLOOKUP($R34,Graphes[],42,FALSE),"non")</f>
        <v>1.7182302474975499</v>
      </c>
      <c r="U34" s="6">
        <f>IF(VLOOKUP($R34,Graphes[],32,FALSE)&gt;0,VLOOKUP($R34,Graphes[],34,FALSE),"non")</f>
        <v>8.2248647212982107</v>
      </c>
      <c r="V34" s="6">
        <f>IF(VLOOKUP($R34,Graphes[],24,FALSE)&gt;0,VLOOKUP($R34,Graphes[],26,FALSE),"non")</f>
        <v>1.63077139854431</v>
      </c>
      <c r="W34" s="6">
        <f>IF(VLOOKUP($R34,Graphes[],8,FALSE)&gt;0,VLOOKUP($R34,Graphes[],10,FALSE),"non")</f>
        <v>0.16867780685424799</v>
      </c>
      <c r="Y34" t="s">
        <v>44</v>
      </c>
      <c r="Z34">
        <f>VLOOKUP($Y34,Graphes[],43,FALSE)</f>
        <v>595</v>
      </c>
      <c r="AA34">
        <f>VLOOKUP($Y34,Graphes[],35,FALSE)</f>
        <v>103</v>
      </c>
      <c r="AB34">
        <f>VLOOKUP($Y34,Graphes[],27,FALSE)</f>
        <v>103</v>
      </c>
      <c r="AC34">
        <f>VLOOKUP($Y34,Graphes[],11,FALSE)</f>
        <v>595</v>
      </c>
      <c r="AE34">
        <v>3.4</v>
      </c>
      <c r="AF34">
        <f>COUNTIFS(Graphes[DS_Temps],"&lt;="&amp;$AE34,Graphes[DS_Temps],"&lt;&gt;0")</f>
        <v>54</v>
      </c>
      <c r="AG34">
        <f>COUNTIFS(Graphes[DS_sans_clique_Temps],"&lt;="&amp;$AE34,Graphes[DS_sans_clique_Temps],"&lt;&gt;0")</f>
        <v>52</v>
      </c>
      <c r="AH34">
        <f>COUNTIFS(Graphes[FC_AC_30_Temps],"&lt;="&amp;$AE34,Graphes[FC_AC_30_Temps],"&lt;&gt;0")</f>
        <v>46</v>
      </c>
      <c r="AI34">
        <f>COUNTIFS(Graphes[FC_AC_30_sans_clique_Temps],"&lt;="&amp;$AE34,Graphes[FC_AC_30_sans_clique_Temps],"&lt;&gt;0")</f>
        <v>48</v>
      </c>
    </row>
    <row r="35" spans="1:35" x14ac:dyDescent="0.25">
      <c r="A35">
        <v>3.4</v>
      </c>
      <c r="B35">
        <f>COUNTIFS(Graphes[FC_Temps],"&lt;="&amp;$A35,Graphes[FC_Solution],"&lt;&gt;0")</f>
        <v>51</v>
      </c>
      <c r="C35">
        <f>COUNTIFS(Graphes[FC_AC_Temps],"&lt;="&amp;$A35,Graphes[FC_AC_Solution],"&lt;&gt;0")</f>
        <v>27</v>
      </c>
      <c r="D35">
        <f>COUNTIFS(Graphes[FC_AC_30_Temps],"&lt;="&amp;$A35,Graphes[FC_AC_30_Solution],"&lt;&gt;0")</f>
        <v>46</v>
      </c>
      <c r="E35">
        <f>COUNTIFS(Graphes[DS_Temps],"&lt;="&amp;$A35,Graphes[DS_Solution],"&lt;&gt;0")</f>
        <v>54</v>
      </c>
      <c r="L35" t="s">
        <v>35</v>
      </c>
      <c r="M35" s="5">
        <f>IF(VLOOKUP($L35,Graphes[],41,FALSE)&gt;=0,VLOOKUP($L35,Graphes[],41,FALSE),"non résolu")</f>
        <v>0.13333333333333333</v>
      </c>
      <c r="N35" s="5">
        <f>IF(VLOOKUP($L35,Graphes[],33,FALSE)&gt;=0,VLOOKUP($L35,Graphes[],33,FALSE),"non résolu")</f>
        <v>0.13333333333333333</v>
      </c>
      <c r="O35" s="5">
        <f>IF(VLOOKUP($L35,Graphes[],25,FALSE)&gt;=0,VLOOKUP($L35,Graphes[],25,FALSE),"non résolu")</f>
        <v>0.13333333333333333</v>
      </c>
      <c r="P35" s="5">
        <f>IF(VLOOKUP($L35,Graphes[],9,FALSE)&gt;=0,VLOOKUP($L35,Graphes[],9,FALSE),"non résolu")</f>
        <v>0.13333333333333333</v>
      </c>
      <c r="R35" t="s">
        <v>59</v>
      </c>
      <c r="S35">
        <f>VLOOKUP($R35,Graphes[],5,FALSE)*VLOOKUP($R35,Graphes[],7,FALSE)*VLOOKUP($R35,Graphes[],7,FALSE)</f>
        <v>15606500</v>
      </c>
      <c r="T35" s="6">
        <f>IF(VLOOKUP($R35,Graphes[],40,FALSE)&gt;0,VLOOKUP($R35,Graphes[],42,FALSE),"non")</f>
        <v>0.30281162261962802</v>
      </c>
      <c r="U35" s="6">
        <f>IF(VLOOKUP($R35,Graphes[],32,FALSE)&gt;0,VLOOKUP($R35,Graphes[],34,FALSE),"non")</f>
        <v>7.1615617275238002</v>
      </c>
      <c r="V35" s="6">
        <f>IF(VLOOKUP($R35,Graphes[],24,FALSE)&gt;0,VLOOKUP($R35,Graphes[],26,FALSE),"non")</f>
        <v>1.3859548568725499</v>
      </c>
      <c r="W35" s="6">
        <f>IF(VLOOKUP($R35,Graphes[],8,FALSE)&gt;0,VLOOKUP($R35,Graphes[],10,FALSE),"non")</f>
        <v>0.42073869705200101</v>
      </c>
      <c r="Y35" t="s">
        <v>59</v>
      </c>
      <c r="Z35">
        <f>VLOOKUP($Y35,Graphes[],43,FALSE)</f>
        <v>265</v>
      </c>
      <c r="AA35">
        <f>VLOOKUP($Y35,Graphes[],35,FALSE)</f>
        <v>157</v>
      </c>
      <c r="AB35">
        <f>VLOOKUP($Y35,Graphes[],27,FALSE)</f>
        <v>157</v>
      </c>
      <c r="AC35">
        <f>VLOOKUP($Y35,Graphes[],11,FALSE)</f>
        <v>265</v>
      </c>
      <c r="AE35">
        <v>3.5</v>
      </c>
      <c r="AF35">
        <f>COUNTIFS(Graphes[DS_Temps],"&lt;="&amp;$AE35,Graphes[DS_Temps],"&lt;&gt;0")</f>
        <v>54</v>
      </c>
      <c r="AG35">
        <f>COUNTIFS(Graphes[DS_sans_clique_Temps],"&lt;="&amp;$AE35,Graphes[DS_sans_clique_Temps],"&lt;&gt;0")</f>
        <v>53</v>
      </c>
      <c r="AH35">
        <f>COUNTIFS(Graphes[FC_AC_30_Temps],"&lt;="&amp;$AE35,Graphes[FC_AC_30_Temps],"&lt;&gt;0")</f>
        <v>46</v>
      </c>
      <c r="AI35">
        <f>COUNTIFS(Graphes[FC_AC_30_sans_clique_Temps],"&lt;="&amp;$AE35,Graphes[FC_AC_30_sans_clique_Temps],"&lt;&gt;0")</f>
        <v>48</v>
      </c>
    </row>
    <row r="36" spans="1:35" x14ac:dyDescent="0.25">
      <c r="A36">
        <v>3.5</v>
      </c>
      <c r="B36">
        <f>COUNTIFS(Graphes[FC_Temps],"&lt;="&amp;$A36,Graphes[FC_Solution],"&lt;&gt;0")</f>
        <v>51</v>
      </c>
      <c r="C36">
        <f>COUNTIFS(Graphes[FC_AC_Temps],"&lt;="&amp;$A36,Graphes[FC_AC_Solution],"&lt;&gt;0")</f>
        <v>28</v>
      </c>
      <c r="D36">
        <f>COUNTIFS(Graphes[FC_AC_30_Temps],"&lt;="&amp;$A36,Graphes[FC_AC_30_Solution],"&lt;&gt;0")</f>
        <v>46</v>
      </c>
      <c r="E36">
        <f>COUNTIFS(Graphes[DS_Temps],"&lt;="&amp;$A36,Graphes[DS_Solution],"&lt;&gt;0")</f>
        <v>54</v>
      </c>
      <c r="L36" t="s">
        <v>41</v>
      </c>
      <c r="M36" s="5">
        <f>IF(VLOOKUP($L36,Graphes[],41,FALSE)&gt;=0,VLOOKUP($L36,Graphes[],41,FALSE),"non résolu")</f>
        <v>0</v>
      </c>
      <c r="N36" s="5">
        <f>IF(VLOOKUP($L36,Graphes[],33,FALSE)&gt;=0,VLOOKUP($L36,Graphes[],33,FALSE),"non résolu")</f>
        <v>0</v>
      </c>
      <c r="O36" s="5">
        <f>IF(VLOOKUP($L36,Graphes[],25,FALSE)&gt;=0,VLOOKUP($L36,Graphes[],25,FALSE),"non résolu")</f>
        <v>0</v>
      </c>
      <c r="P36" s="5">
        <f>IF(VLOOKUP($L36,Graphes[],9,FALSE)&gt;=0,VLOOKUP($L36,Graphes[],9,FALSE),"non résolu")</f>
        <v>0</v>
      </c>
      <c r="R36" t="s">
        <v>55</v>
      </c>
      <c r="S36">
        <f>VLOOKUP($R36,Graphes[],5,FALSE)*VLOOKUP($R36,Graphes[],7,FALSE)*VLOOKUP($R36,Graphes[],7,FALSE)</f>
        <v>21740544</v>
      </c>
      <c r="T36" s="6">
        <f>IF(VLOOKUP($R36,Graphes[],40,FALSE)&gt;0,VLOOKUP($R36,Graphes[],42,FALSE),"non")</f>
        <v>0.28482413291931102</v>
      </c>
      <c r="U36" s="6">
        <f>IF(VLOOKUP($R36,Graphes[],32,FALSE)&gt;0,VLOOKUP($R36,Graphes[],34,FALSE),"non")</f>
        <v>3.0621042251586901</v>
      </c>
      <c r="V36" s="6">
        <f>IF(VLOOKUP($R36,Graphes[],24,FALSE)&gt;0,VLOOKUP($R36,Graphes[],26,FALSE),"non")</f>
        <v>0.77278995513916005</v>
      </c>
      <c r="W36" s="6">
        <f>IF(VLOOKUP($R36,Graphes[],8,FALSE)&gt;0,VLOOKUP($R36,Graphes[],10,FALSE),"non")</f>
        <v>0.760528564453125</v>
      </c>
      <c r="Y36" t="s">
        <v>55</v>
      </c>
      <c r="Z36">
        <f>VLOOKUP($Y36,Graphes[],43,FALSE)</f>
        <v>282</v>
      </c>
      <c r="AA36">
        <f>VLOOKUP($Y36,Graphes[],35,FALSE)</f>
        <v>190</v>
      </c>
      <c r="AB36">
        <f>VLOOKUP($Y36,Graphes[],27,FALSE)</f>
        <v>190</v>
      </c>
      <c r="AC36">
        <f>VLOOKUP($Y36,Graphes[],11,FALSE)</f>
        <v>282</v>
      </c>
      <c r="AE36">
        <v>3.8</v>
      </c>
      <c r="AF36">
        <f>COUNTIFS(Graphes[DS_Temps],"&lt;="&amp;$AE36,Graphes[DS_Temps],"&lt;&gt;0")</f>
        <v>54</v>
      </c>
      <c r="AG36">
        <f>COUNTIFS(Graphes[DS_sans_clique_Temps],"&lt;="&amp;$AE36,Graphes[DS_sans_clique_Temps],"&lt;&gt;0")</f>
        <v>53</v>
      </c>
      <c r="AH36">
        <f>COUNTIFS(Graphes[FC_AC_30_Temps],"&lt;="&amp;$AE36,Graphes[FC_AC_30_Temps],"&lt;&gt;0")</f>
        <v>46</v>
      </c>
      <c r="AI36">
        <f>COUNTIFS(Graphes[FC_AC_30_sans_clique_Temps],"&lt;="&amp;$AE36,Graphes[FC_AC_30_sans_clique_Temps],"&lt;&gt;0")</f>
        <v>49</v>
      </c>
    </row>
    <row r="37" spans="1:35" x14ac:dyDescent="0.25">
      <c r="A37">
        <v>3.6</v>
      </c>
      <c r="B37">
        <f>COUNTIFS(Graphes[FC_Temps],"&lt;="&amp;$A37,Graphes[FC_Solution],"&lt;&gt;0")</f>
        <v>51</v>
      </c>
      <c r="C37">
        <f>COUNTIFS(Graphes[FC_AC_Temps],"&lt;="&amp;$A37,Graphes[FC_AC_Solution],"&lt;&gt;0")</f>
        <v>29</v>
      </c>
      <c r="D37">
        <f>COUNTIFS(Graphes[FC_AC_30_Temps],"&lt;="&amp;$A37,Graphes[FC_AC_30_Solution],"&lt;&gt;0")</f>
        <v>46</v>
      </c>
      <c r="E37">
        <f>COUNTIFS(Graphes[DS_Temps],"&lt;="&amp;$A37,Graphes[DS_Solution],"&lt;&gt;0")</f>
        <v>54</v>
      </c>
      <c r="L37" t="s">
        <v>34</v>
      </c>
      <c r="M37" s="5">
        <f>IF(VLOOKUP($L37,Graphes[],41,FALSE)&gt;=0,VLOOKUP($L37,Graphes[],41,FALSE),"non résolu")</f>
        <v>0.13333333333333333</v>
      </c>
      <c r="N37" s="5">
        <f>IF(VLOOKUP($L37,Graphes[],33,FALSE)&gt;=0,VLOOKUP($L37,Graphes[],33,FALSE),"non résolu")</f>
        <v>6.6666666666666666E-2</v>
      </c>
      <c r="O37" s="5">
        <f>IF(VLOOKUP($L37,Graphes[],25,FALSE)&gt;=0,VLOOKUP($L37,Graphes[],25,FALSE),"non résolu")</f>
        <v>6.6666666666666666E-2</v>
      </c>
      <c r="P37" s="5">
        <f>IF(VLOOKUP($L37,Graphes[],9,FALSE)&gt;=0,VLOOKUP($L37,Graphes[],9,FALSE),"non résolu")</f>
        <v>0.13333333333333333</v>
      </c>
      <c r="R37" t="s">
        <v>60</v>
      </c>
      <c r="S37">
        <f>VLOOKUP($R37,Graphes[],5,FALSE)*VLOOKUP($R37,Graphes[],7,FALSE)*VLOOKUP($R37,Graphes[],7,FALSE)</f>
        <v>22145760</v>
      </c>
      <c r="T37" s="6">
        <f>IF(VLOOKUP($R37,Graphes[],40,FALSE)&gt;0,VLOOKUP($R37,Graphes[],42,FALSE),"non")</f>
        <v>0.22986030578613201</v>
      </c>
      <c r="U37" s="6">
        <f>IF(VLOOKUP($R37,Graphes[],32,FALSE)&gt;0,VLOOKUP($R37,Graphes[],34,FALSE),"non")</f>
        <v>9.8788809776306099</v>
      </c>
      <c r="V37" s="6">
        <f>IF(VLOOKUP($R37,Graphes[],24,FALSE)&gt;0,VLOOKUP($R37,Graphes[],26,FALSE),"non")</f>
        <v>1.9977283477783201</v>
      </c>
      <c r="W37" s="6">
        <f>IF(VLOOKUP($R37,Graphes[],8,FALSE)&gt;0,VLOOKUP($R37,Graphes[],10,FALSE),"non")</f>
        <v>0.335790395736694</v>
      </c>
      <c r="Y37" t="s">
        <v>60</v>
      </c>
      <c r="Z37">
        <f>VLOOKUP($Y37,Graphes[],43,FALSE)</f>
        <v>277</v>
      </c>
      <c r="AA37">
        <f>VLOOKUP($Y37,Graphes[],35,FALSE)</f>
        <v>183</v>
      </c>
      <c r="AB37">
        <f>VLOOKUP($Y37,Graphes[],27,FALSE)</f>
        <v>183</v>
      </c>
      <c r="AC37">
        <f>VLOOKUP($Y37,Graphes[],11,FALSE)</f>
        <v>277</v>
      </c>
      <c r="AE37">
        <v>3.9</v>
      </c>
      <c r="AF37">
        <f>COUNTIFS(Graphes[DS_Temps],"&lt;="&amp;$AE37,Graphes[DS_Temps],"&lt;&gt;0")</f>
        <v>54</v>
      </c>
      <c r="AG37">
        <f>COUNTIFS(Graphes[DS_sans_clique_Temps],"&lt;="&amp;$AE37,Graphes[DS_sans_clique_Temps],"&lt;&gt;0")</f>
        <v>53</v>
      </c>
      <c r="AH37">
        <f>COUNTIFS(Graphes[FC_AC_30_Temps],"&lt;="&amp;$AE37,Graphes[FC_AC_30_Temps],"&lt;&gt;0")</f>
        <v>46</v>
      </c>
      <c r="AI37">
        <f>COUNTIFS(Graphes[FC_AC_30_sans_clique_Temps],"&lt;="&amp;$AE37,Graphes[FC_AC_30_sans_clique_Temps],"&lt;&gt;0")</f>
        <v>51</v>
      </c>
    </row>
    <row r="38" spans="1:35" x14ac:dyDescent="0.25">
      <c r="A38">
        <v>3.9</v>
      </c>
      <c r="B38">
        <f>COUNTIFS(Graphes[FC_Temps],"&lt;="&amp;$A38,Graphes[FC_Solution],"&lt;&gt;0")</f>
        <v>51</v>
      </c>
      <c r="C38">
        <f>COUNTIFS(Graphes[FC_AC_Temps],"&lt;="&amp;$A38,Graphes[FC_AC_Solution],"&lt;&gt;0")</f>
        <v>30</v>
      </c>
      <c r="D38">
        <f>COUNTIFS(Graphes[FC_AC_30_Temps],"&lt;="&amp;$A38,Graphes[FC_AC_30_Solution],"&lt;&gt;0")</f>
        <v>46</v>
      </c>
      <c r="E38">
        <f>COUNTIFS(Graphes[DS_Temps],"&lt;="&amp;$A38,Graphes[DS_Solution],"&lt;&gt;0")</f>
        <v>54</v>
      </c>
      <c r="L38" t="s">
        <v>46</v>
      </c>
      <c r="M38" s="5">
        <f>IF(VLOOKUP($L38,Graphes[],41,FALSE)&gt;=0,VLOOKUP($L38,Graphes[],41,FALSE),"non résolu")</f>
        <v>0</v>
      </c>
      <c r="N38" s="5">
        <f>IF(VLOOKUP($L38,Graphes[],33,FALSE)&gt;=0,VLOOKUP($L38,Graphes[],33,FALSE),"non résolu")</f>
        <v>0</v>
      </c>
      <c r="O38" s="5">
        <f>IF(VLOOKUP($L38,Graphes[],25,FALSE)&gt;=0,VLOOKUP($L38,Graphes[],25,FALSE),"non résolu")</f>
        <v>0</v>
      </c>
      <c r="P38" s="5">
        <f>IF(VLOOKUP($L38,Graphes[],9,FALSE)&gt;=0,VLOOKUP($L38,Graphes[],9,FALSE),"non résolu")</f>
        <v>0</v>
      </c>
      <c r="R38" t="s">
        <v>31</v>
      </c>
      <c r="S38">
        <f>VLOOKUP($R38,Graphes[],5,FALSE)*VLOOKUP($R38,Graphes[],7,FALSE)*VLOOKUP($R38,Graphes[],7,FALSE)</f>
        <v>31460000</v>
      </c>
      <c r="T38" s="6">
        <f>IF(VLOOKUP($R38,Graphes[],40,FALSE)&gt;0,VLOOKUP($R38,Graphes[],42,FALSE),"non")</f>
        <v>5.0301816463470397</v>
      </c>
      <c r="U38" s="6">
        <f>IF(VLOOKUP($R38,Graphes[],32,FALSE)&gt;0,VLOOKUP($R38,Graphes[],34,FALSE),"non")</f>
        <v>4.0567862987518302</v>
      </c>
      <c r="V38" s="6">
        <f>IF(VLOOKUP($R38,Graphes[],24,FALSE)&gt;0,VLOOKUP($R38,Graphes[],26,FALSE),"non")</f>
        <v>3.0656890869140598</v>
      </c>
      <c r="W38" s="6">
        <f>IF(VLOOKUP($R38,Graphes[],8,FALSE)&gt;0,VLOOKUP($R38,Graphes[],10,FALSE),"non")</f>
        <v>2.2607355117797798</v>
      </c>
      <c r="Y38" t="s">
        <v>31</v>
      </c>
      <c r="Z38">
        <f>VLOOKUP($Y38,Graphes[],43,FALSE)</f>
        <v>579</v>
      </c>
      <c r="AA38">
        <f>VLOOKUP($Y38,Graphes[],35,FALSE)</f>
        <v>551</v>
      </c>
      <c r="AB38">
        <f>VLOOKUP($Y38,Graphes[],27,FALSE)</f>
        <v>551</v>
      </c>
      <c r="AC38">
        <f>VLOOKUP($Y38,Graphes[],11,FALSE)</f>
        <v>579</v>
      </c>
      <c r="AE38">
        <v>4</v>
      </c>
      <c r="AF38">
        <f>COUNTIFS(Graphes[DS_Temps],"&lt;="&amp;$AE38,Graphes[DS_Temps],"&lt;&gt;0")</f>
        <v>54</v>
      </c>
      <c r="AG38">
        <f>COUNTIFS(Graphes[DS_sans_clique_Temps],"&lt;="&amp;$AE38,Graphes[DS_sans_clique_Temps],"&lt;&gt;0")</f>
        <v>53</v>
      </c>
      <c r="AH38">
        <f>COUNTIFS(Graphes[FC_AC_30_Temps],"&lt;="&amp;$AE38,Graphes[FC_AC_30_Temps],"&lt;&gt;0")</f>
        <v>46</v>
      </c>
      <c r="AI38">
        <f>COUNTIFS(Graphes[FC_AC_30_sans_clique_Temps],"&lt;="&amp;$AE38,Graphes[FC_AC_30_sans_clique_Temps],"&lt;&gt;0")</f>
        <v>53</v>
      </c>
    </row>
    <row r="39" spans="1:35" x14ac:dyDescent="0.25">
      <c r="A39">
        <v>4.0999999999999996</v>
      </c>
      <c r="B39">
        <f>COUNTIFS(Graphes[FC_Temps],"&lt;="&amp;$A39,Graphes[FC_Solution],"&lt;&gt;0")</f>
        <v>51</v>
      </c>
      <c r="C39">
        <f>COUNTIFS(Graphes[FC_AC_Temps],"&lt;="&amp;$A39,Graphes[FC_AC_Solution],"&lt;&gt;0")</f>
        <v>32</v>
      </c>
      <c r="D39">
        <f>COUNTIFS(Graphes[FC_AC_30_Temps],"&lt;="&amp;$A39,Graphes[FC_AC_30_Solution],"&lt;&gt;0")</f>
        <v>47</v>
      </c>
      <c r="E39">
        <f>COUNTIFS(Graphes[DS_Temps],"&lt;="&amp;$A39,Graphes[DS_Solution],"&lt;&gt;0")</f>
        <v>54</v>
      </c>
      <c r="L39" t="s">
        <v>47</v>
      </c>
      <c r="M39" s="5">
        <f>IF(VLOOKUP($L39,Graphes[],41,FALSE)&gt;=0,VLOOKUP($L39,Graphes[],41,FALSE),"non résolu")</f>
        <v>0</v>
      </c>
      <c r="N39" s="5">
        <f>IF(VLOOKUP($L39,Graphes[],33,FALSE)&gt;=0,VLOOKUP($L39,Graphes[],33,FALSE),"non résolu")</f>
        <v>0</v>
      </c>
      <c r="O39" s="5">
        <f>IF(VLOOKUP($L39,Graphes[],25,FALSE)&gt;=0,VLOOKUP($L39,Graphes[],25,FALSE),"non résolu")</f>
        <v>0</v>
      </c>
      <c r="P39" s="5">
        <f>IF(VLOOKUP($L39,Graphes[],9,FALSE)&gt;=0,VLOOKUP($L39,Graphes[],9,FALSE),"non résolu")</f>
        <v>0</v>
      </c>
      <c r="R39" t="s">
        <v>73</v>
      </c>
      <c r="S39">
        <f>VLOOKUP($R39,Graphes[],5,FALSE)*VLOOKUP($R39,Graphes[],7,FALSE)*VLOOKUP($R39,Graphes[],7,FALSE)</f>
        <v>32977350</v>
      </c>
      <c r="T39" s="6">
        <f>IF(VLOOKUP($R39,Graphes[],40,FALSE)&gt;0,VLOOKUP($R39,Graphes[],42,FALSE),"non")</f>
        <v>0.27103567123413003</v>
      </c>
      <c r="U39" s="6">
        <f>IF(VLOOKUP($R39,Graphes[],32,FALSE)&gt;0,VLOOKUP($R39,Graphes[],34,FALSE),"non")</f>
        <v>8.4226174354553205</v>
      </c>
      <c r="V39" s="6">
        <f>IF(VLOOKUP($R39,Graphes[],24,FALSE)&gt;0,VLOOKUP($R39,Graphes[],26,FALSE),"non")</f>
        <v>2.8694314956664999</v>
      </c>
      <c r="W39" s="6">
        <f>IF(VLOOKUP($R39,Graphes[],8,FALSE)&gt;0,VLOOKUP($R39,Graphes[],10,FALSE),"non")</f>
        <v>0.26805567741393999</v>
      </c>
      <c r="Y39" t="s">
        <v>73</v>
      </c>
      <c r="Z39">
        <f>VLOOKUP($Y39,Graphes[],43,FALSE)</f>
        <v>323</v>
      </c>
      <c r="AA39">
        <f>VLOOKUP($Y39,Graphes[],35,FALSE)</f>
        <v>211</v>
      </c>
      <c r="AB39">
        <f>VLOOKUP($Y39,Graphes[],27,FALSE)</f>
        <v>211</v>
      </c>
      <c r="AC39">
        <f>VLOOKUP($Y39,Graphes[],11,FALSE)</f>
        <v>323</v>
      </c>
      <c r="AE39">
        <v>4.0999999999999996</v>
      </c>
      <c r="AF39">
        <f>COUNTIFS(Graphes[DS_Temps],"&lt;="&amp;$AE39,Graphes[DS_Temps],"&lt;&gt;0")</f>
        <v>54</v>
      </c>
      <c r="AG39">
        <f>COUNTIFS(Graphes[DS_sans_clique_Temps],"&lt;="&amp;$AE39,Graphes[DS_sans_clique_Temps],"&lt;&gt;0")</f>
        <v>53</v>
      </c>
      <c r="AH39">
        <f>COUNTIFS(Graphes[FC_AC_30_Temps],"&lt;="&amp;$AE39,Graphes[FC_AC_30_Temps],"&lt;&gt;0")</f>
        <v>47</v>
      </c>
      <c r="AI39">
        <f>COUNTIFS(Graphes[FC_AC_30_sans_clique_Temps],"&lt;="&amp;$AE39,Graphes[FC_AC_30_sans_clique_Temps],"&lt;&gt;0")</f>
        <v>53</v>
      </c>
    </row>
    <row r="40" spans="1:35" x14ac:dyDescent="0.25">
      <c r="A40">
        <v>4.4000000000000004</v>
      </c>
      <c r="B40">
        <f>COUNTIFS(Graphes[FC_Temps],"&lt;="&amp;$A40,Graphes[FC_Solution],"&lt;&gt;0")</f>
        <v>51</v>
      </c>
      <c r="C40">
        <f>COUNTIFS(Graphes[FC_AC_Temps],"&lt;="&amp;$A40,Graphes[FC_AC_Solution],"&lt;&gt;0")</f>
        <v>32</v>
      </c>
      <c r="D40">
        <f>COUNTIFS(Graphes[FC_AC_30_Temps],"&lt;="&amp;$A40,Graphes[FC_AC_30_Solution],"&lt;&gt;0")</f>
        <v>48</v>
      </c>
      <c r="E40">
        <f>COUNTIFS(Graphes[DS_Temps],"&lt;="&amp;$A40,Graphes[DS_Solution],"&lt;&gt;0")</f>
        <v>54</v>
      </c>
      <c r="L40" t="s">
        <v>48</v>
      </c>
      <c r="M40" s="5">
        <f>IF(VLOOKUP($L40,Graphes[],41,FALSE)&gt;=0,VLOOKUP($L40,Graphes[],41,FALSE),"non résolu")</f>
        <v>0</v>
      </c>
      <c r="N40" s="5">
        <f>IF(VLOOKUP($L40,Graphes[],33,FALSE)&gt;=0,VLOOKUP($L40,Graphes[],33,FALSE),"non résolu")</f>
        <v>0</v>
      </c>
      <c r="O40" s="5">
        <f>IF(VLOOKUP($L40,Graphes[],25,FALSE)&gt;=0,VLOOKUP($L40,Graphes[],25,FALSE),"non résolu")</f>
        <v>0</v>
      </c>
      <c r="P40" s="5">
        <f>IF(VLOOKUP($L40,Graphes[],9,FALSE)&gt;=0,VLOOKUP($L40,Graphes[],9,FALSE),"non résolu")</f>
        <v>0</v>
      </c>
      <c r="R40" t="s">
        <v>67</v>
      </c>
      <c r="S40">
        <f>VLOOKUP($R40,Graphes[],5,FALSE)*VLOOKUP($R40,Graphes[],7,FALSE)*VLOOKUP($R40,Graphes[],7,FALSE)</f>
        <v>38447360</v>
      </c>
      <c r="T40" s="6">
        <f>IF(VLOOKUP($R40,Graphes[],40,FALSE)&gt;0,VLOOKUP($R40,Graphes[],42,FALSE),"non")</f>
        <v>1.32518434524536</v>
      </c>
      <c r="U40" s="6">
        <f>IF(VLOOKUP($R40,Graphes[],32,FALSE)&gt;0,VLOOKUP($R40,Graphes[],34,FALSE),"non")</f>
        <v>4.7670474052429199</v>
      </c>
      <c r="V40" s="6">
        <f>IF(VLOOKUP($R40,Graphes[],24,FALSE)&gt;0,VLOOKUP($R40,Graphes[],26,FALSE),"non")</f>
        <v>2.2517502307891801</v>
      </c>
      <c r="W40" s="6">
        <f>IF(VLOOKUP($R40,Graphes[],8,FALSE)&gt;0,VLOOKUP($R40,Graphes[],10,FALSE),"non")</f>
        <v>1.4890773296356199</v>
      </c>
      <c r="Y40" t="s">
        <v>67</v>
      </c>
      <c r="Z40">
        <f>VLOOKUP($Y40,Graphes[],43,FALSE)</f>
        <v>1962</v>
      </c>
      <c r="AA40">
        <f>VLOOKUP($Y40,Graphes[],35,FALSE)</f>
        <v>166</v>
      </c>
      <c r="AB40">
        <f>VLOOKUP($Y40,Graphes[],27,FALSE)</f>
        <v>166</v>
      </c>
      <c r="AC40">
        <f>VLOOKUP($Y40,Graphes[],11,FALSE)</f>
        <v>1962</v>
      </c>
      <c r="AE40">
        <v>4.4000000000000004</v>
      </c>
      <c r="AF40">
        <f>COUNTIFS(Graphes[DS_Temps],"&lt;="&amp;$AE40,Graphes[DS_Temps],"&lt;&gt;0")</f>
        <v>54</v>
      </c>
      <c r="AG40">
        <f>COUNTIFS(Graphes[DS_sans_clique_Temps],"&lt;="&amp;$AE40,Graphes[DS_sans_clique_Temps],"&lt;&gt;0")</f>
        <v>53</v>
      </c>
      <c r="AH40">
        <f>COUNTIFS(Graphes[FC_AC_30_Temps],"&lt;="&amp;$AE40,Graphes[FC_AC_30_Temps],"&lt;&gt;0")</f>
        <v>48</v>
      </c>
      <c r="AI40">
        <f>COUNTIFS(Graphes[FC_AC_30_sans_clique_Temps],"&lt;="&amp;$AE40,Graphes[FC_AC_30_sans_clique_Temps],"&lt;&gt;0")</f>
        <v>53</v>
      </c>
    </row>
    <row r="41" spans="1:35" x14ac:dyDescent="0.25">
      <c r="A41">
        <v>4.5</v>
      </c>
      <c r="B41">
        <f>COUNTIFS(Graphes[FC_Temps],"&lt;="&amp;$A41,Graphes[FC_Solution],"&lt;&gt;0")</f>
        <v>52</v>
      </c>
      <c r="C41">
        <f>COUNTIFS(Graphes[FC_AC_Temps],"&lt;="&amp;$A41,Graphes[FC_AC_Solution],"&lt;&gt;0")</f>
        <v>32</v>
      </c>
      <c r="D41">
        <f>COUNTIFS(Graphes[FC_AC_30_Temps],"&lt;="&amp;$A41,Graphes[FC_AC_30_Solution],"&lt;&gt;0")</f>
        <v>48</v>
      </c>
      <c r="E41">
        <f>COUNTIFS(Graphes[DS_Temps],"&lt;="&amp;$A41,Graphes[DS_Solution],"&lt;&gt;0")</f>
        <v>55</v>
      </c>
      <c r="L41" t="s">
        <v>49</v>
      </c>
      <c r="M41" s="5">
        <f>IF(VLOOKUP($L41,Graphes[],41,FALSE)&gt;=0,VLOOKUP($L41,Graphes[],41,FALSE),"non résolu")</f>
        <v>0</v>
      </c>
      <c r="N41" s="5">
        <f>IF(VLOOKUP($L41,Graphes[],33,FALSE)&gt;=0,VLOOKUP($L41,Graphes[],33,FALSE),"non résolu")</f>
        <v>0</v>
      </c>
      <c r="O41" s="5">
        <f>IF(VLOOKUP($L41,Graphes[],25,FALSE)&gt;=0,VLOOKUP($L41,Graphes[],25,FALSE),"non résolu")</f>
        <v>0</v>
      </c>
      <c r="P41" s="5">
        <f>IF(VLOOKUP($L41,Graphes[],9,FALSE)&gt;=0,VLOOKUP($L41,Graphes[],9,FALSE),"non résolu")</f>
        <v>0</v>
      </c>
      <c r="R41" t="s">
        <v>40</v>
      </c>
      <c r="S41">
        <f>VLOOKUP($R41,Graphes[],5,FALSE)*VLOOKUP($R41,Graphes[],7,FALSE)*VLOOKUP($R41,Graphes[],7,FALSE)</f>
        <v>39676698</v>
      </c>
      <c r="T41" s="6">
        <f>IF(VLOOKUP($R41,Graphes[],40,FALSE)&gt;0,VLOOKUP($R41,Graphes[],42,FALSE),"non")</f>
        <v>0.281086444854736</v>
      </c>
      <c r="U41" s="6">
        <f>IF(VLOOKUP($R41,Graphes[],32,FALSE)&gt;0,VLOOKUP($R41,Graphes[],34,FALSE),"non")</f>
        <v>9.6466603279113698</v>
      </c>
      <c r="V41" s="6">
        <f>IF(VLOOKUP($R41,Graphes[],24,FALSE)&gt;0,VLOOKUP($R41,Graphes[],26,FALSE),"non")</f>
        <v>5.11012864112854</v>
      </c>
      <c r="W41" s="6">
        <f>IF(VLOOKUP($R41,Graphes[],8,FALSE)&gt;0,VLOOKUP($R41,Graphes[],10,FALSE),"non")</f>
        <v>0.26399564743041898</v>
      </c>
      <c r="Y41" t="s">
        <v>40</v>
      </c>
      <c r="Z41">
        <f>VLOOKUP($Y41,Graphes[],43,FALSE)</f>
        <v>610</v>
      </c>
      <c r="AA41">
        <f>VLOOKUP($Y41,Graphes[],35,FALSE)</f>
        <v>94</v>
      </c>
      <c r="AB41">
        <f>VLOOKUP($Y41,Graphes[],27,FALSE)</f>
        <v>94</v>
      </c>
      <c r="AC41">
        <f>VLOOKUP($Y41,Graphes[],11,FALSE)</f>
        <v>610</v>
      </c>
      <c r="AE41">
        <v>4.5</v>
      </c>
      <c r="AF41">
        <f>COUNTIFS(Graphes[DS_Temps],"&lt;="&amp;$AE41,Graphes[DS_Temps],"&lt;&gt;0")</f>
        <v>55</v>
      </c>
      <c r="AG41">
        <f>COUNTIFS(Graphes[DS_sans_clique_Temps],"&lt;="&amp;$AE41,Graphes[DS_sans_clique_Temps],"&lt;&gt;0")</f>
        <v>53</v>
      </c>
      <c r="AH41">
        <f>COUNTIFS(Graphes[FC_AC_30_Temps],"&lt;="&amp;$AE41,Graphes[FC_AC_30_Temps],"&lt;&gt;0")</f>
        <v>48</v>
      </c>
      <c r="AI41">
        <f>COUNTIFS(Graphes[FC_AC_30_sans_clique_Temps],"&lt;="&amp;$AE41,Graphes[FC_AC_30_sans_clique_Temps],"&lt;&gt;0")</f>
        <v>53</v>
      </c>
    </row>
    <row r="42" spans="1:35" x14ac:dyDescent="0.25">
      <c r="A42">
        <v>4.8</v>
      </c>
      <c r="B42">
        <f>COUNTIFS(Graphes[FC_Temps],"&lt;="&amp;$A42,Graphes[FC_Solution],"&lt;&gt;0")</f>
        <v>52</v>
      </c>
      <c r="C42">
        <f>COUNTIFS(Graphes[FC_AC_Temps],"&lt;="&amp;$A42,Graphes[FC_AC_Solution],"&lt;&gt;0")</f>
        <v>33</v>
      </c>
      <c r="D42">
        <f>COUNTIFS(Graphes[FC_AC_30_Temps],"&lt;="&amp;$A42,Graphes[FC_AC_30_Solution],"&lt;&gt;0")</f>
        <v>48</v>
      </c>
      <c r="E42">
        <f>COUNTIFS(Graphes[DS_Temps],"&lt;="&amp;$A42,Graphes[DS_Solution],"&lt;&gt;0")</f>
        <v>55</v>
      </c>
      <c r="L42" t="s">
        <v>37</v>
      </c>
      <c r="M42" s="5">
        <f>IF(VLOOKUP($L42,Graphes[],41,FALSE)&gt;=0,VLOOKUP($L42,Graphes[],41,FALSE),"non résolu")</f>
        <v>0</v>
      </c>
      <c r="N42" s="5">
        <f>IF(VLOOKUP($L42,Graphes[],33,FALSE)&gt;=0,VLOOKUP($L42,Graphes[],33,FALSE),"non résolu")</f>
        <v>0</v>
      </c>
      <c r="O42" s="5">
        <f>IF(VLOOKUP($L42,Graphes[],25,FALSE)&gt;=0,VLOOKUP($L42,Graphes[],25,FALSE),"non résolu")</f>
        <v>0</v>
      </c>
      <c r="P42" s="5">
        <f>IF(VLOOKUP($L42,Graphes[],9,FALSE)&gt;=0,VLOOKUP($L42,Graphes[],9,FALSE),"non résolu")</f>
        <v>0</v>
      </c>
      <c r="R42" t="s">
        <v>71</v>
      </c>
      <c r="S42">
        <f>VLOOKUP($R42,Graphes[],5,FALSE)*VLOOKUP($R42,Graphes[],7,FALSE)*VLOOKUP($R42,Graphes[],7,FALSE)</f>
        <v>43960777</v>
      </c>
      <c r="T42" s="6">
        <f>IF(VLOOKUP($R42,Graphes[],40,FALSE)&gt;0,VLOOKUP($R42,Graphes[],42,FALSE),"non")</f>
        <v>1.5167586803436199</v>
      </c>
      <c r="U42" s="6">
        <f>IF(VLOOKUP($R42,Graphes[],32,FALSE)&gt;0,VLOOKUP($R42,Graphes[],34,FALSE),"non")</f>
        <v>7.6899833679199201</v>
      </c>
      <c r="V42" s="6">
        <f>IF(VLOOKUP($R42,Graphes[],24,FALSE)&gt;0,VLOOKUP($R42,Graphes[],26,FALSE),"non")</f>
        <v>3.2057614326477002</v>
      </c>
      <c r="W42" s="6">
        <f>IF(VLOOKUP($R42,Graphes[],8,FALSE)&gt;0,VLOOKUP($R42,Graphes[],10,FALSE),"non")</f>
        <v>0.95296883583068803</v>
      </c>
      <c r="Y42" t="s">
        <v>71</v>
      </c>
      <c r="Z42">
        <f>VLOOKUP($Y42,Graphes[],43,FALSE)</f>
        <v>484</v>
      </c>
      <c r="AA42">
        <f>VLOOKUP($Y42,Graphes[],35,FALSE)</f>
        <v>446</v>
      </c>
      <c r="AB42">
        <f>VLOOKUP($Y42,Graphes[],27,FALSE)</f>
        <v>446</v>
      </c>
      <c r="AC42">
        <f>VLOOKUP($Y42,Graphes[],11,FALSE)</f>
        <v>484</v>
      </c>
      <c r="AE42">
        <v>5.0999999999999996</v>
      </c>
      <c r="AF42">
        <f>COUNTIFS(Graphes[DS_Temps],"&lt;="&amp;$AE42,Graphes[DS_Temps],"&lt;&gt;0")</f>
        <v>55</v>
      </c>
      <c r="AG42">
        <f>COUNTIFS(Graphes[DS_sans_clique_Temps],"&lt;="&amp;$AE42,Graphes[DS_sans_clique_Temps],"&lt;&gt;0")</f>
        <v>53</v>
      </c>
      <c r="AH42">
        <f>COUNTIFS(Graphes[FC_AC_30_Temps],"&lt;="&amp;$AE42,Graphes[FC_AC_30_Temps],"&lt;&gt;0")</f>
        <v>49</v>
      </c>
      <c r="AI42">
        <f>COUNTIFS(Graphes[FC_AC_30_sans_clique_Temps],"&lt;="&amp;$AE42,Graphes[FC_AC_30_sans_clique_Temps],"&lt;&gt;0")</f>
        <v>53</v>
      </c>
    </row>
    <row r="43" spans="1:35" x14ac:dyDescent="0.25">
      <c r="A43">
        <v>5.0999999999999996</v>
      </c>
      <c r="B43">
        <f>COUNTIFS(Graphes[FC_Temps],"&lt;="&amp;$A43,Graphes[FC_Solution],"&lt;&gt;0")</f>
        <v>53</v>
      </c>
      <c r="C43">
        <f>COUNTIFS(Graphes[FC_AC_Temps],"&lt;="&amp;$A43,Graphes[FC_AC_Solution],"&lt;&gt;0")</f>
        <v>33</v>
      </c>
      <c r="D43">
        <f>COUNTIFS(Graphes[FC_AC_30_Temps],"&lt;="&amp;$A43,Graphes[FC_AC_30_Solution],"&lt;&gt;0")</f>
        <v>49</v>
      </c>
      <c r="E43">
        <f>COUNTIFS(Graphes[DS_Temps],"&lt;="&amp;$A43,Graphes[DS_Solution],"&lt;&gt;0")</f>
        <v>55</v>
      </c>
      <c r="L43" t="s">
        <v>36</v>
      </c>
      <c r="M43" s="5">
        <f>IF(VLOOKUP($L43,Graphes[],41,FALSE)&gt;=0,VLOOKUP($L43,Graphes[],41,FALSE),"non résolu")</f>
        <v>0</v>
      </c>
      <c r="N43" s="5">
        <f>IF(VLOOKUP($L43,Graphes[],33,FALSE)&gt;=0,VLOOKUP($L43,Graphes[],33,FALSE),"non résolu")</f>
        <v>0</v>
      </c>
      <c r="O43" s="5">
        <f>IF(VLOOKUP($L43,Graphes[],25,FALSE)&gt;=0,VLOOKUP($L43,Graphes[],25,FALSE),"non résolu")</f>
        <v>0</v>
      </c>
      <c r="P43" s="5">
        <f>IF(VLOOKUP($L43,Graphes[],9,FALSE)&gt;=0,VLOOKUP($L43,Graphes[],9,FALSE),"non résolu")</f>
        <v>0</v>
      </c>
      <c r="R43" t="s">
        <v>74</v>
      </c>
      <c r="S43">
        <f>VLOOKUP($R43,Graphes[],5,FALSE)*VLOOKUP($R43,Graphes[],7,FALSE)*VLOOKUP($R43,Graphes[],7,FALSE)</f>
        <v>44640000</v>
      </c>
      <c r="T43" s="6">
        <f>IF(VLOOKUP($R43,Graphes[],40,FALSE)&gt;0,VLOOKUP($R43,Graphes[],42,FALSE),"non")</f>
        <v>0.40674734115600503</v>
      </c>
      <c r="U43" s="6">
        <f>IF(VLOOKUP($R43,Graphes[],32,FALSE)&gt;0,VLOOKUP($R43,Graphes[],34,FALSE),"non")</f>
        <v>18.201698303222599</v>
      </c>
      <c r="V43" s="6">
        <f>IF(VLOOKUP($R43,Graphes[],24,FALSE)&gt;0,VLOOKUP($R43,Graphes[],26,FALSE),"non")</f>
        <v>3.31155228614807</v>
      </c>
      <c r="W43" s="6">
        <f>IF(VLOOKUP($R43,Graphes[],8,FALSE)&gt;0,VLOOKUP($R43,Graphes[],10,FALSE),"non")</f>
        <v>0.43672919273376398</v>
      </c>
      <c r="Y43" t="s">
        <v>74</v>
      </c>
      <c r="Z43">
        <f>VLOOKUP($Y43,Graphes[],43,FALSE)</f>
        <v>329</v>
      </c>
      <c r="AA43">
        <f>VLOOKUP($Y43,Graphes[],35,FALSE)</f>
        <v>241</v>
      </c>
      <c r="AB43">
        <f>VLOOKUP($Y43,Graphes[],27,FALSE)</f>
        <v>241</v>
      </c>
      <c r="AC43">
        <f>VLOOKUP($Y43,Graphes[],11,FALSE)</f>
        <v>329</v>
      </c>
      <c r="AE43">
        <v>5.2</v>
      </c>
      <c r="AF43">
        <f>COUNTIFS(Graphes[DS_Temps],"&lt;="&amp;$AE43,Graphes[DS_Temps],"&lt;&gt;0")</f>
        <v>55</v>
      </c>
      <c r="AG43">
        <f>COUNTIFS(Graphes[DS_sans_clique_Temps],"&lt;="&amp;$AE43,Graphes[DS_sans_clique_Temps],"&lt;&gt;0")</f>
        <v>54</v>
      </c>
      <c r="AH43">
        <f>COUNTIFS(Graphes[FC_AC_30_Temps],"&lt;="&amp;$AE43,Graphes[FC_AC_30_Temps],"&lt;&gt;0")</f>
        <v>50</v>
      </c>
      <c r="AI43">
        <f>COUNTIFS(Graphes[FC_AC_30_sans_clique_Temps],"&lt;="&amp;$AE43,Graphes[FC_AC_30_sans_clique_Temps],"&lt;&gt;0")</f>
        <v>53</v>
      </c>
    </row>
    <row r="44" spans="1:35" x14ac:dyDescent="0.25">
      <c r="A44">
        <v>5.2</v>
      </c>
      <c r="B44">
        <f>COUNTIFS(Graphes[FC_Temps],"&lt;="&amp;$A44,Graphes[FC_Solution],"&lt;&gt;0")</f>
        <v>53</v>
      </c>
      <c r="C44">
        <f>COUNTIFS(Graphes[FC_AC_Temps],"&lt;="&amp;$A44,Graphes[FC_AC_Solution],"&lt;&gt;0")</f>
        <v>33</v>
      </c>
      <c r="D44">
        <f>COUNTIFS(Graphes[FC_AC_30_Temps],"&lt;="&amp;$A44,Graphes[FC_AC_30_Solution],"&lt;&gt;0")</f>
        <v>50</v>
      </c>
      <c r="E44">
        <f>COUNTIFS(Graphes[DS_Temps],"&lt;="&amp;$A44,Graphes[DS_Solution],"&lt;&gt;0")</f>
        <v>55</v>
      </c>
      <c r="L44" t="s">
        <v>70</v>
      </c>
      <c r="M44" s="5">
        <f>IF(VLOOKUP($L44,Graphes[],41,FALSE)&gt;=0,VLOOKUP($L44,Graphes[],41,FALSE),"non résolu")</f>
        <v>0</v>
      </c>
      <c r="N44" s="5">
        <f>IF(VLOOKUP($L44,Graphes[],33,FALSE)&gt;=0,VLOOKUP($L44,Graphes[],33,FALSE),"non résolu")</f>
        <v>0</v>
      </c>
      <c r="O44" s="5">
        <f>IF(VLOOKUP($L44,Graphes[],25,FALSE)&gt;=0,VLOOKUP($L44,Graphes[],25,FALSE),"non résolu")</f>
        <v>0</v>
      </c>
      <c r="P44" s="5">
        <f>IF(VLOOKUP($L44,Graphes[],9,FALSE)&gt;=0,VLOOKUP($L44,Graphes[],9,FALSE),"non résolu")</f>
        <v>0</v>
      </c>
      <c r="R44" t="s">
        <v>72</v>
      </c>
      <c r="S44">
        <f>VLOOKUP($R44,Graphes[],5,FALSE)*VLOOKUP($R44,Graphes[],7,FALSE)*VLOOKUP($R44,Graphes[],7,FALSE)</f>
        <v>46405467</v>
      </c>
      <c r="T44" s="6">
        <f>IF(VLOOKUP($R44,Graphes[],40,FALSE)&gt;0,VLOOKUP($R44,Graphes[],42,FALSE),"non")</f>
        <v>0.90792536735534601</v>
      </c>
      <c r="U44" s="6">
        <f>IF(VLOOKUP($R44,Graphes[],32,FALSE)&gt;0,VLOOKUP($R44,Graphes[],34,FALSE),"non")</f>
        <v>7.4058260917663503</v>
      </c>
      <c r="V44" s="6">
        <f>IF(VLOOKUP($R44,Graphes[],24,FALSE)&gt;0,VLOOKUP($R44,Graphes[],26,FALSE),"non")</f>
        <v>3.2818641662597599</v>
      </c>
      <c r="W44" s="6">
        <f>IF(VLOOKUP($R44,Graphes[],8,FALSE)&gt;0,VLOOKUP($R44,Graphes[],10,FALSE),"non")</f>
        <v>1.35500860214233</v>
      </c>
      <c r="Y44" t="s">
        <v>72</v>
      </c>
      <c r="Z44">
        <f>VLOOKUP($Y44,Graphes[],43,FALSE)</f>
        <v>490</v>
      </c>
      <c r="AA44">
        <f>VLOOKUP($Y44,Graphes[],35,FALSE)</f>
        <v>446</v>
      </c>
      <c r="AB44">
        <f>VLOOKUP($Y44,Graphes[],27,FALSE)</f>
        <v>446</v>
      </c>
      <c r="AC44">
        <f>VLOOKUP($Y44,Graphes[],11,FALSE)</f>
        <v>490</v>
      </c>
      <c r="AE44">
        <v>5.5</v>
      </c>
      <c r="AF44">
        <f>COUNTIFS(Graphes[DS_Temps],"&lt;="&amp;$AE44,Graphes[DS_Temps],"&lt;&gt;0")</f>
        <v>55</v>
      </c>
      <c r="AG44">
        <f>COUNTIFS(Graphes[DS_sans_clique_Temps],"&lt;="&amp;$AE44,Graphes[DS_sans_clique_Temps],"&lt;&gt;0")</f>
        <v>54</v>
      </c>
      <c r="AH44">
        <f>COUNTIFS(Graphes[FC_AC_30_Temps],"&lt;="&amp;$AE44,Graphes[FC_AC_30_Temps],"&lt;&gt;0")</f>
        <v>50</v>
      </c>
      <c r="AI44">
        <f>COUNTIFS(Graphes[FC_AC_30_sans_clique_Temps],"&lt;="&amp;$AE44,Graphes[FC_AC_30_sans_clique_Temps],"&lt;&gt;0")</f>
        <v>54</v>
      </c>
    </row>
    <row r="45" spans="1:35" x14ac:dyDescent="0.25">
      <c r="A45">
        <v>5.4</v>
      </c>
      <c r="B45">
        <f>COUNTIFS(Graphes[FC_Temps],"&lt;="&amp;$A45,Graphes[FC_Solution],"&lt;&gt;0")</f>
        <v>53</v>
      </c>
      <c r="C45">
        <f>COUNTIFS(Graphes[FC_AC_Temps],"&lt;="&amp;$A45,Graphes[FC_AC_Solution],"&lt;&gt;0")</f>
        <v>34</v>
      </c>
      <c r="D45">
        <f>COUNTIFS(Graphes[FC_AC_30_Temps],"&lt;="&amp;$A45,Graphes[FC_AC_30_Solution],"&lt;&gt;0")</f>
        <v>50</v>
      </c>
      <c r="E45">
        <f>COUNTIFS(Graphes[DS_Temps],"&lt;="&amp;$A45,Graphes[DS_Solution],"&lt;&gt;0")</f>
        <v>55</v>
      </c>
      <c r="L45" t="s">
        <v>28</v>
      </c>
      <c r="M45" s="5">
        <f>IF(VLOOKUP($L45,Graphes[],41,FALSE)&gt;=0,VLOOKUP($L45,Graphes[],41,FALSE),"non résolu")</f>
        <v>0.1</v>
      </c>
      <c r="N45" s="5"/>
      <c r="O45" s="5">
        <f>IF(VLOOKUP($L45,Graphes[],25,FALSE)&gt;=0,VLOOKUP($L45,Graphes[],25,FALSE),"non résolu")</f>
        <v>0</v>
      </c>
      <c r="P45" s="5">
        <f>IF(VLOOKUP($L45,Graphes[],9,FALSE)&gt;=0,VLOOKUP($L45,Graphes[],9,FALSE),"non résolu")</f>
        <v>0.1</v>
      </c>
      <c r="R45" t="s">
        <v>45</v>
      </c>
      <c r="S45">
        <f>VLOOKUP($R45,Graphes[],5,FALSE)*VLOOKUP($R45,Graphes[],7,FALSE)*VLOOKUP($R45,Graphes[],7,FALSE)</f>
        <v>49563720</v>
      </c>
      <c r="T45" s="6">
        <f>IF(VLOOKUP($R45,Graphes[],40,FALSE)&gt;0,VLOOKUP($R45,Graphes[],42,FALSE),"non")</f>
        <v>1.31849360466003</v>
      </c>
      <c r="U45" s="6">
        <f>IF(VLOOKUP($R45,Graphes[],32,FALSE)&gt;0,VLOOKUP($R45,Graphes[],34,FALSE),"non")</f>
        <v>8.1345353126525808</v>
      </c>
      <c r="V45" s="6">
        <f>IF(VLOOKUP($R45,Graphes[],24,FALSE)&gt;0,VLOOKUP($R45,Graphes[],26,FALSE),"non")</f>
        <v>4.3564045429229701</v>
      </c>
      <c r="W45" s="6">
        <f>IF(VLOOKUP($R45,Graphes[],8,FALSE)&gt;0,VLOOKUP($R45,Graphes[],10,FALSE),"non")</f>
        <v>1.4707059860229399</v>
      </c>
      <c r="Y45" t="s">
        <v>45</v>
      </c>
      <c r="Z45">
        <f>VLOOKUP($Y45,Graphes[],43,FALSE)</f>
        <v>2331</v>
      </c>
      <c r="AA45">
        <f>VLOOKUP($Y45,Graphes[],35,FALSE)</f>
        <v>163</v>
      </c>
      <c r="AB45">
        <f>VLOOKUP($Y45,Graphes[],27,FALSE)</f>
        <v>163</v>
      </c>
      <c r="AC45">
        <f>VLOOKUP($Y45,Graphes[],11,FALSE)</f>
        <v>2331</v>
      </c>
      <c r="AE45">
        <v>5.8</v>
      </c>
      <c r="AF45">
        <f>COUNTIFS(Graphes[DS_Temps],"&lt;="&amp;$AE45,Graphes[DS_Temps],"&lt;&gt;0")</f>
        <v>55</v>
      </c>
      <c r="AG45">
        <f>COUNTIFS(Graphes[DS_sans_clique_Temps],"&lt;="&amp;$AE45,Graphes[DS_sans_clique_Temps],"&lt;&gt;0")</f>
        <v>54</v>
      </c>
      <c r="AH45">
        <f>COUNTIFS(Graphes[FC_AC_30_Temps],"&lt;="&amp;$AE45,Graphes[FC_AC_30_Temps],"&lt;&gt;0")</f>
        <v>51</v>
      </c>
      <c r="AI45">
        <f>COUNTIFS(Graphes[FC_AC_30_sans_clique_Temps],"&lt;="&amp;$AE45,Graphes[FC_AC_30_sans_clique_Temps],"&lt;&gt;0")</f>
        <v>55</v>
      </c>
    </row>
    <row r="46" spans="1:35" x14ac:dyDescent="0.25">
      <c r="A46">
        <v>5.5</v>
      </c>
      <c r="B46">
        <f>COUNTIFS(Graphes[FC_Temps],"&lt;="&amp;$A46,Graphes[FC_Solution],"&lt;&gt;0")</f>
        <v>54</v>
      </c>
      <c r="C46">
        <f>COUNTIFS(Graphes[FC_AC_Temps],"&lt;="&amp;$A46,Graphes[FC_AC_Solution],"&lt;&gt;0")</f>
        <v>34</v>
      </c>
      <c r="D46">
        <f>COUNTIFS(Graphes[FC_AC_30_Temps],"&lt;="&amp;$A46,Graphes[FC_AC_30_Solution],"&lt;&gt;0")</f>
        <v>50</v>
      </c>
      <c r="E46">
        <f>COUNTIFS(Graphes[DS_Temps],"&lt;="&amp;$A46,Graphes[DS_Solution],"&lt;&gt;0")</f>
        <v>55</v>
      </c>
      <c r="L46" t="s">
        <v>29</v>
      </c>
      <c r="M46" s="5">
        <f>IF(VLOOKUP($L46,Graphes[],41,FALSE)&gt;=0,VLOOKUP($L46,Graphes[],41,FALSE),"non résolu")</f>
        <v>6.6666666666666666E-2</v>
      </c>
      <c r="N46" s="5"/>
      <c r="O46" s="5"/>
      <c r="P46" s="5">
        <f>IF(VLOOKUP($L46,Graphes[],9,FALSE)&gt;=0,VLOOKUP($L46,Graphes[],9,FALSE),"non résolu")</f>
        <v>6.6666666666666666E-2</v>
      </c>
      <c r="R46" t="s">
        <v>69</v>
      </c>
      <c r="S46">
        <f>VLOOKUP($R46,Graphes[],5,FALSE)*VLOOKUP($R46,Graphes[],7,FALSE)*VLOOKUP($R46,Graphes[],7,FALSE)</f>
        <v>62863722</v>
      </c>
      <c r="T46" s="6">
        <f>IF(VLOOKUP($R46,Graphes[],40,FALSE)&gt;0,VLOOKUP($R46,Graphes[],42,FALSE),"non")</f>
        <v>2.7053360939025799</v>
      </c>
      <c r="U46" s="6">
        <f>IF(VLOOKUP($R46,Graphes[],32,FALSE)&gt;0,VLOOKUP($R46,Graphes[],34,FALSE),"non")</f>
        <v>3.4358716011047301</v>
      </c>
      <c r="V46" s="6">
        <f>IF(VLOOKUP($R46,Graphes[],24,FALSE)&gt;0,VLOOKUP($R46,Graphes[],26,FALSE),"non")</f>
        <v>2.2927122116088801</v>
      </c>
      <c r="W46" s="6">
        <f>IF(VLOOKUP($R46,Graphes[],8,FALSE)&gt;0,VLOOKUP($R46,Graphes[],10,FALSE),"non")</f>
        <v>2.6153793334960902</v>
      </c>
      <c r="Y46" t="s">
        <v>69</v>
      </c>
      <c r="Z46">
        <f>VLOOKUP($Y46,Graphes[],43,FALSE)</f>
        <v>3609</v>
      </c>
      <c r="AA46">
        <f>VLOOKUP($Y46,Graphes[],35,FALSE)</f>
        <v>179</v>
      </c>
      <c r="AB46">
        <f>VLOOKUP($Y46,Graphes[],27,FALSE)</f>
        <v>179</v>
      </c>
      <c r="AC46">
        <f>VLOOKUP($Y46,Graphes[],11,FALSE)</f>
        <v>3609</v>
      </c>
      <c r="AE46">
        <v>6.1</v>
      </c>
      <c r="AF46">
        <f>COUNTIFS(Graphes[DS_Temps],"&lt;="&amp;$AE46,Graphes[DS_Temps],"&lt;&gt;0")</f>
        <v>55</v>
      </c>
      <c r="AG46">
        <f>COUNTIFS(Graphes[DS_sans_clique_Temps],"&lt;="&amp;$AE46,Graphes[DS_sans_clique_Temps],"&lt;&gt;0")</f>
        <v>54</v>
      </c>
      <c r="AH46">
        <f>COUNTIFS(Graphes[FC_AC_30_Temps],"&lt;="&amp;$AE46,Graphes[FC_AC_30_Temps],"&lt;&gt;0")</f>
        <v>52</v>
      </c>
      <c r="AI46">
        <f>COUNTIFS(Graphes[FC_AC_30_sans_clique_Temps],"&lt;="&amp;$AE46,Graphes[FC_AC_30_sans_clique_Temps],"&lt;&gt;0")</f>
        <v>55</v>
      </c>
    </row>
    <row r="47" spans="1:35" x14ac:dyDescent="0.25">
      <c r="A47">
        <v>5.8</v>
      </c>
      <c r="B47">
        <f>COUNTIFS(Graphes[FC_Temps],"&lt;="&amp;$A47,Graphes[FC_Solution],"&lt;&gt;0")</f>
        <v>54</v>
      </c>
      <c r="C47">
        <f>COUNTIFS(Graphes[FC_AC_Temps],"&lt;="&amp;$A47,Graphes[FC_AC_Solution],"&lt;&gt;0")</f>
        <v>34</v>
      </c>
      <c r="D47">
        <f>COUNTIFS(Graphes[FC_AC_30_Temps],"&lt;="&amp;$A47,Graphes[FC_AC_30_Solution],"&lt;&gt;0")</f>
        <v>51</v>
      </c>
      <c r="E47">
        <f>COUNTIFS(Graphes[DS_Temps],"&lt;="&amp;$A47,Graphes[DS_Solution],"&lt;&gt;0")</f>
        <v>55</v>
      </c>
      <c r="R47" t="s">
        <v>68</v>
      </c>
      <c r="S47">
        <f>VLOOKUP($R47,Graphes[],5,FALSE)*VLOOKUP($R47,Graphes[],7,FALSE)*VLOOKUP($R47,Graphes[],7,FALSE)</f>
        <v>62883603</v>
      </c>
      <c r="T47" s="6">
        <f>IF(VLOOKUP($R47,Graphes[],40,FALSE)&gt;0,VLOOKUP($R47,Graphes[],42,FALSE),"non")</f>
        <v>2.8742306232452299</v>
      </c>
      <c r="U47" s="6">
        <f>IF(VLOOKUP($R47,Graphes[],32,FALSE)&gt;0,VLOOKUP($R47,Graphes[],34,FALSE),"non")</f>
        <v>3.8626077175140301</v>
      </c>
      <c r="V47" s="6">
        <f>IF(VLOOKUP($R47,Graphes[],24,FALSE)&gt;0,VLOOKUP($R47,Graphes[],26,FALSE),"non")</f>
        <v>2.42268514633178</v>
      </c>
      <c r="W47" s="6">
        <f>IF(VLOOKUP($R47,Graphes[],8,FALSE)&gt;0,VLOOKUP($R47,Graphes[],10,FALSE),"non")</f>
        <v>2.8532345294952299</v>
      </c>
      <c r="Y47" t="s">
        <v>68</v>
      </c>
      <c r="Z47">
        <f>VLOOKUP($Y47,Graphes[],43,FALSE)</f>
        <v>3674</v>
      </c>
      <c r="AA47">
        <f>VLOOKUP($Y47,Graphes[],35,FALSE)</f>
        <v>184</v>
      </c>
      <c r="AB47">
        <f>VLOOKUP($Y47,Graphes[],27,FALSE)</f>
        <v>184</v>
      </c>
      <c r="AC47">
        <f>VLOOKUP($Y47,Graphes[],11,FALSE)</f>
        <v>3674</v>
      </c>
      <c r="AE47">
        <v>8.6999999999999993</v>
      </c>
      <c r="AF47">
        <f>COUNTIFS(Graphes[DS_Temps],"&lt;="&amp;$AE47,Graphes[DS_Temps],"&lt;&gt;0")</f>
        <v>55</v>
      </c>
      <c r="AG47">
        <f>COUNTIFS(Graphes[DS_sans_clique_Temps],"&lt;="&amp;$AE47,Graphes[DS_sans_clique_Temps],"&lt;&gt;0")</f>
        <v>54</v>
      </c>
      <c r="AH47">
        <f>COUNTIFS(Graphes[FC_AC_30_Temps],"&lt;="&amp;$AE47,Graphes[FC_AC_30_Temps],"&lt;&gt;0")</f>
        <v>53</v>
      </c>
      <c r="AI47">
        <f>COUNTIFS(Graphes[FC_AC_30_sans_clique_Temps],"&lt;="&amp;$AE47,Graphes[FC_AC_30_sans_clique_Temps],"&lt;&gt;0")</f>
        <v>55</v>
      </c>
    </row>
    <row r="48" spans="1:35" x14ac:dyDescent="0.25">
      <c r="A48">
        <v>6.1</v>
      </c>
      <c r="B48">
        <f>COUNTIFS(Graphes[FC_Temps],"&lt;="&amp;$A48,Graphes[FC_Solution],"&lt;&gt;0")</f>
        <v>54</v>
      </c>
      <c r="C48">
        <f>COUNTIFS(Graphes[FC_AC_Temps],"&lt;="&amp;$A48,Graphes[FC_AC_Solution],"&lt;&gt;0")</f>
        <v>34</v>
      </c>
      <c r="D48">
        <f>COUNTIFS(Graphes[FC_AC_30_Temps],"&lt;="&amp;$A48,Graphes[FC_AC_30_Solution],"&lt;&gt;0")</f>
        <v>52</v>
      </c>
      <c r="E48">
        <f>COUNTIFS(Graphes[DS_Temps],"&lt;="&amp;$A48,Graphes[DS_Solution],"&lt;&gt;0")</f>
        <v>55</v>
      </c>
      <c r="R48" t="s">
        <v>35</v>
      </c>
      <c r="S48">
        <f>VLOOKUP($R48,Graphes[],5,FALSE)*VLOOKUP($R48,Graphes[],7,FALSE)*VLOOKUP($R48,Graphes[],7,FALSE)</f>
        <v>72777600</v>
      </c>
      <c r="T48" s="6">
        <f>IF(VLOOKUP($R48,Graphes[],40,FALSE)&gt;0,VLOOKUP($R48,Graphes[],42,FALSE),"non")</f>
        <v>1.38536548614501</v>
      </c>
      <c r="U48" s="6">
        <f>IF(VLOOKUP($R48,Graphes[],32,FALSE)&gt;0,VLOOKUP($R48,Graphes[],34,FALSE),"non")</f>
        <v>13.9938941001892</v>
      </c>
      <c r="V48" s="6">
        <f>IF(VLOOKUP($R48,Graphes[],24,FALSE)&gt;0,VLOOKUP($R48,Graphes[],26,FALSE),"non")</f>
        <v>4.0804390907287598</v>
      </c>
      <c r="W48" s="6">
        <f>IF(VLOOKUP($R48,Graphes[],8,FALSE)&gt;0,VLOOKUP($R48,Graphes[],10,FALSE),"non")</f>
        <v>2.0231521129608101</v>
      </c>
      <c r="Y48" t="s">
        <v>35</v>
      </c>
      <c r="Z48">
        <f>VLOOKUP($Y48,Graphes[],43,FALSE)</f>
        <v>548</v>
      </c>
      <c r="AA48">
        <f>VLOOKUP($Y48,Graphes[],35,FALSE)</f>
        <v>436</v>
      </c>
      <c r="AB48">
        <f>VLOOKUP($Y48,Graphes[],27,FALSE)</f>
        <v>436</v>
      </c>
      <c r="AC48">
        <f>VLOOKUP($Y48,Graphes[],11,FALSE)</f>
        <v>548</v>
      </c>
      <c r="AE48">
        <v>8.9</v>
      </c>
      <c r="AF48">
        <f>COUNTIFS(Graphes[DS_Temps],"&lt;="&amp;$AE48,Graphes[DS_Temps],"&lt;&gt;0")</f>
        <v>55</v>
      </c>
      <c r="AG48">
        <f>COUNTIFS(Graphes[DS_sans_clique_Temps],"&lt;="&amp;$AE48,Graphes[DS_sans_clique_Temps],"&lt;&gt;0")</f>
        <v>54</v>
      </c>
      <c r="AH48">
        <f>COUNTIFS(Graphes[FC_AC_30_Temps],"&lt;="&amp;$AE48,Graphes[FC_AC_30_Temps],"&lt;&gt;0")</f>
        <v>54</v>
      </c>
      <c r="AI48">
        <f>COUNTIFS(Graphes[FC_AC_30_sans_clique_Temps],"&lt;="&amp;$AE48,Graphes[FC_AC_30_sans_clique_Temps],"&lt;&gt;0")</f>
        <v>55</v>
      </c>
    </row>
    <row r="49" spans="1:35" x14ac:dyDescent="0.25">
      <c r="A49">
        <v>6.5</v>
      </c>
      <c r="B49">
        <f>COUNTIFS(Graphes[FC_Temps],"&lt;="&amp;$A49,Graphes[FC_Solution],"&lt;&gt;0")</f>
        <v>54</v>
      </c>
      <c r="C49">
        <f>COUNTIFS(Graphes[FC_AC_Temps],"&lt;="&amp;$A49,Graphes[FC_AC_Solution],"&lt;&gt;0")</f>
        <v>35</v>
      </c>
      <c r="D49">
        <f>COUNTIFS(Graphes[FC_AC_30_Temps],"&lt;="&amp;$A49,Graphes[FC_AC_30_Solution],"&lt;&gt;0")</f>
        <v>52</v>
      </c>
      <c r="E49">
        <f>COUNTIFS(Graphes[DS_Temps],"&lt;="&amp;$A49,Graphes[DS_Solution],"&lt;&gt;0")</f>
        <v>55</v>
      </c>
      <c r="R49" t="s">
        <v>41</v>
      </c>
      <c r="S49">
        <f>VLOOKUP($R49,Graphes[],5,FALSE)*VLOOKUP($R49,Graphes[],7,FALSE)*VLOOKUP($R49,Graphes[],7,FALSE)</f>
        <v>72861436</v>
      </c>
      <c r="T49" s="6">
        <f>IF(VLOOKUP($R49,Graphes[],40,FALSE)&gt;0,VLOOKUP($R49,Graphes[],42,FALSE),"non")</f>
        <v>0.69168519973754805</v>
      </c>
      <c r="U49" s="6">
        <f>IF(VLOOKUP($R49,Graphes[],32,FALSE)&gt;0,VLOOKUP($R49,Graphes[],34,FALSE),"non")</f>
        <v>12.8525645732879</v>
      </c>
      <c r="V49" s="6">
        <f>IF(VLOOKUP($R49,Graphes[],24,FALSE)&gt;0,VLOOKUP($R49,Graphes[],26,FALSE),"non")</f>
        <v>8.8147783279418892</v>
      </c>
      <c r="W49" s="6">
        <f>IF(VLOOKUP($R49,Graphes[],8,FALSE)&gt;0,VLOOKUP($R49,Graphes[],10,FALSE),"non")</f>
        <v>0.72362303733825595</v>
      </c>
      <c r="Y49" t="s">
        <v>41</v>
      </c>
      <c r="Z49">
        <f>VLOOKUP($Y49,Graphes[],43,FALSE)</f>
        <v>1877</v>
      </c>
      <c r="AA49">
        <f>VLOOKUP($Y49,Graphes[],35,FALSE)</f>
        <v>65</v>
      </c>
      <c r="AB49">
        <f>VLOOKUP($Y49,Graphes[],27,FALSE)</f>
        <v>65</v>
      </c>
      <c r="AC49">
        <f>VLOOKUP($Y49,Graphes[],11,FALSE)</f>
        <v>1877</v>
      </c>
      <c r="AE49">
        <v>10.199999999999999</v>
      </c>
      <c r="AF49">
        <f>COUNTIFS(Graphes[DS_Temps],"&lt;="&amp;$AE49,Graphes[DS_Temps],"&lt;&gt;0")</f>
        <v>55</v>
      </c>
      <c r="AG49">
        <f>COUNTIFS(Graphes[DS_sans_clique_Temps],"&lt;="&amp;$AE49,Graphes[DS_sans_clique_Temps],"&lt;&gt;0")</f>
        <v>55</v>
      </c>
      <c r="AH49">
        <f>COUNTIFS(Graphes[FC_AC_30_Temps],"&lt;="&amp;$AE49,Graphes[FC_AC_30_Temps],"&lt;&gt;0")</f>
        <v>54</v>
      </c>
      <c r="AI49">
        <f>COUNTIFS(Graphes[FC_AC_30_sans_clique_Temps],"&lt;="&amp;$AE49,Graphes[FC_AC_30_sans_clique_Temps],"&lt;&gt;0")</f>
        <v>55</v>
      </c>
    </row>
    <row r="50" spans="1:35" x14ac:dyDescent="0.25">
      <c r="A50">
        <v>7.2</v>
      </c>
      <c r="B50">
        <f>COUNTIFS(Graphes[FC_Temps],"&lt;="&amp;$A50,Graphes[FC_Solution],"&lt;&gt;0")</f>
        <v>54</v>
      </c>
      <c r="C50">
        <f>COUNTIFS(Graphes[FC_AC_Temps],"&lt;="&amp;$A50,Graphes[FC_AC_Solution],"&lt;&gt;0")</f>
        <v>37</v>
      </c>
      <c r="D50">
        <f>COUNTIFS(Graphes[FC_AC_30_Temps],"&lt;="&amp;$A50,Graphes[FC_AC_30_Solution],"&lt;&gt;0")</f>
        <v>52</v>
      </c>
      <c r="E50">
        <f>COUNTIFS(Graphes[DS_Temps],"&lt;="&amp;$A50,Graphes[DS_Solution],"&lt;&gt;0")</f>
        <v>55</v>
      </c>
      <c r="R50" t="s">
        <v>34</v>
      </c>
      <c r="S50">
        <f>VLOOKUP($R50,Graphes[],5,FALSE)*VLOOKUP($R50,Graphes[],7,FALSE)*VLOOKUP($R50,Graphes[],7,FALSE)</f>
        <v>80630000</v>
      </c>
      <c r="T50" s="6">
        <f>IF(VLOOKUP($R50,Graphes[],40,FALSE)&gt;0,VLOOKUP($R50,Graphes[],42,FALSE),"non")</f>
        <v>1.7656447887420601</v>
      </c>
      <c r="U50" s="6">
        <f>IF(VLOOKUP($R50,Graphes[],32,FALSE)&gt;0,VLOOKUP($R50,Graphes[],34,FALSE),"non")</f>
        <v>13.309240579605101</v>
      </c>
      <c r="V50" s="6">
        <f>IF(VLOOKUP($R50,Graphes[],24,FALSE)&gt;0,VLOOKUP($R50,Graphes[],26,FALSE),"non")</f>
        <v>5.0485103130340496</v>
      </c>
      <c r="W50" s="6">
        <f>IF(VLOOKUP($R50,Graphes[],8,FALSE)&gt;0,VLOOKUP($R50,Graphes[],10,FALSE),"non")</f>
        <v>2.0541584491729701</v>
      </c>
      <c r="Y50" t="s">
        <v>34</v>
      </c>
      <c r="Z50">
        <f>VLOOKUP($Y50,Graphes[],43,FALSE)</f>
        <v>562</v>
      </c>
      <c r="AA50">
        <f>VLOOKUP($Y50,Graphes[],35,FALSE)</f>
        <v>436</v>
      </c>
      <c r="AB50">
        <f>VLOOKUP($Y50,Graphes[],27,FALSE)</f>
        <v>436</v>
      </c>
      <c r="AC50">
        <f>VLOOKUP($Y50,Graphes[],11,FALSE)</f>
        <v>562</v>
      </c>
      <c r="AE50">
        <v>10.4</v>
      </c>
      <c r="AF50">
        <f>COUNTIFS(Graphes[DS_Temps],"&lt;="&amp;$AE50,Graphes[DS_Temps],"&lt;&gt;0")</f>
        <v>55</v>
      </c>
      <c r="AG50">
        <f>COUNTIFS(Graphes[DS_sans_clique_Temps],"&lt;="&amp;$AE50,Graphes[DS_sans_clique_Temps],"&lt;&gt;0")</f>
        <v>56</v>
      </c>
      <c r="AH50">
        <f>COUNTIFS(Graphes[FC_AC_30_Temps],"&lt;="&amp;$AE50,Graphes[FC_AC_30_Temps],"&lt;&gt;0")</f>
        <v>54</v>
      </c>
      <c r="AI50">
        <f>COUNTIFS(Graphes[FC_AC_30_sans_clique_Temps],"&lt;="&amp;$AE50,Graphes[FC_AC_30_sans_clique_Temps],"&lt;&gt;0")</f>
        <v>55</v>
      </c>
    </row>
    <row r="51" spans="1:35" x14ac:dyDescent="0.25">
      <c r="A51">
        <v>7.5</v>
      </c>
      <c r="B51">
        <f>COUNTIFS(Graphes[FC_Temps],"&lt;="&amp;$A51,Graphes[FC_Solution],"&lt;&gt;0")</f>
        <v>54</v>
      </c>
      <c r="C51">
        <f>COUNTIFS(Graphes[FC_AC_Temps],"&lt;="&amp;$A51,Graphes[FC_AC_Solution],"&lt;&gt;0")</f>
        <v>38</v>
      </c>
      <c r="D51">
        <f>COUNTIFS(Graphes[FC_AC_30_Temps],"&lt;="&amp;$A51,Graphes[FC_AC_30_Solution],"&lt;&gt;0")</f>
        <v>52</v>
      </c>
      <c r="E51">
        <f>COUNTIFS(Graphes[DS_Temps],"&lt;="&amp;$A51,Graphes[DS_Solution],"&lt;&gt;0")</f>
        <v>55</v>
      </c>
      <c r="R51" t="s">
        <v>46</v>
      </c>
      <c r="S51">
        <f>VLOOKUP($R51,Graphes[],5,FALSE)*VLOOKUP($R51,Graphes[],7,FALSE)*VLOOKUP($R51,Graphes[],7,FALSE)</f>
        <v>85039050</v>
      </c>
      <c r="T51" s="6">
        <f>IF(VLOOKUP($R51,Graphes[],40,FALSE)&gt;0,VLOOKUP($R51,Graphes[],42,FALSE),"non")</f>
        <v>0.79748225212097101</v>
      </c>
      <c r="U51" s="6">
        <f>IF(VLOOKUP($R51,Graphes[],32,FALSE)&gt;0,VLOOKUP($R51,Graphes[],34,FALSE),"non")</f>
        <v>8.4678997993469203</v>
      </c>
      <c r="V51" s="6">
        <f>IF(VLOOKUP($R51,Graphes[],24,FALSE)&gt;0,VLOOKUP($R51,Graphes[],26,FALSE),"non")</f>
        <v>2.0666158199310298</v>
      </c>
      <c r="W51" s="6">
        <f>IF(VLOOKUP($R51,Graphes[],8,FALSE)&gt;0,VLOOKUP($R51,Graphes[],10,FALSE),"non")</f>
        <v>0.71913719177246005</v>
      </c>
      <c r="Y51" t="s">
        <v>46</v>
      </c>
      <c r="Z51">
        <f>VLOOKUP($Y51,Graphes[],43,FALSE)</f>
        <v>1675</v>
      </c>
      <c r="AA51">
        <f>VLOOKUP($Y51,Graphes[],35,FALSE)</f>
        <v>159</v>
      </c>
      <c r="AB51">
        <f>VLOOKUP($Y51,Graphes[],27,FALSE)</f>
        <v>159</v>
      </c>
      <c r="AC51">
        <f>VLOOKUP($Y51,Graphes[],11,FALSE)</f>
        <v>1675</v>
      </c>
      <c r="AE51">
        <v>16.5</v>
      </c>
      <c r="AF51">
        <f>COUNTIFS(Graphes[DS_Temps],"&lt;="&amp;$AE51,Graphes[DS_Temps],"&lt;&gt;0")</f>
        <v>55</v>
      </c>
      <c r="AG51">
        <f>COUNTIFS(Graphes[DS_sans_clique_Temps],"&lt;="&amp;$AE51,Graphes[DS_sans_clique_Temps],"&lt;&gt;0")</f>
        <v>56</v>
      </c>
      <c r="AH51">
        <f>COUNTIFS(Graphes[FC_AC_30_Temps],"&lt;="&amp;$AE51,Graphes[FC_AC_30_Temps],"&lt;&gt;0")</f>
        <v>55</v>
      </c>
      <c r="AI51">
        <f>COUNTIFS(Graphes[FC_AC_30_sans_clique_Temps],"&lt;="&amp;$AE51,Graphes[FC_AC_30_sans_clique_Temps],"&lt;&gt;0")</f>
        <v>55</v>
      </c>
    </row>
    <row r="52" spans="1:35" x14ac:dyDescent="0.25">
      <c r="A52">
        <v>7.7</v>
      </c>
      <c r="B52">
        <f>COUNTIFS(Graphes[FC_Temps],"&lt;="&amp;$A52,Graphes[FC_Solution],"&lt;&gt;0")</f>
        <v>54</v>
      </c>
      <c r="C52">
        <f>COUNTIFS(Graphes[FC_AC_Temps],"&lt;="&amp;$A52,Graphes[FC_AC_Solution],"&lt;&gt;0")</f>
        <v>39</v>
      </c>
      <c r="D52">
        <f>COUNTIFS(Graphes[FC_AC_30_Temps],"&lt;="&amp;$A52,Graphes[FC_AC_30_Solution],"&lt;&gt;0")</f>
        <v>52</v>
      </c>
      <c r="E52">
        <f>COUNTIFS(Graphes[DS_Temps],"&lt;="&amp;$A52,Graphes[DS_Solution],"&lt;&gt;0")</f>
        <v>55</v>
      </c>
      <c r="R52" t="s">
        <v>47</v>
      </c>
      <c r="S52">
        <f>VLOOKUP($R52,Graphes[],5,FALSE)*VLOOKUP($R52,Graphes[],7,FALSE)*VLOOKUP($R52,Graphes[],7,FALSE)</f>
        <v>86899684</v>
      </c>
      <c r="T52" s="6">
        <f>IF(VLOOKUP($R52,Graphes[],40,FALSE)&gt;0,VLOOKUP($R52,Graphes[],42,FALSE),"non")</f>
        <v>0.76255249977111805</v>
      </c>
      <c r="U52" s="6">
        <f>IF(VLOOKUP($R52,Graphes[],32,FALSE)&gt;0,VLOOKUP($R52,Graphes[],34,FALSE),"non")</f>
        <v>8.3471274375915492</v>
      </c>
      <c r="V52" s="6">
        <f>IF(VLOOKUP($R52,Graphes[],24,FALSE)&gt;0,VLOOKUP($R52,Graphes[],26,FALSE),"non")</f>
        <v>2.1566321849822998</v>
      </c>
      <c r="W52" s="6">
        <f>IF(VLOOKUP($R52,Graphes[],8,FALSE)&gt;0,VLOOKUP($R52,Graphes[],10,FALSE),"non")</f>
        <v>0.72063159942626898</v>
      </c>
      <c r="Y52" t="s">
        <v>47</v>
      </c>
      <c r="Z52">
        <f>VLOOKUP($Y52,Graphes[],43,FALSE)</f>
        <v>1671</v>
      </c>
      <c r="AA52">
        <f>VLOOKUP($Y52,Graphes[],35,FALSE)</f>
        <v>155</v>
      </c>
      <c r="AB52">
        <f>VLOOKUP($Y52,Graphes[],27,FALSE)</f>
        <v>155</v>
      </c>
      <c r="AC52">
        <f>VLOOKUP($Y52,Graphes[],11,FALSE)</f>
        <v>1671</v>
      </c>
      <c r="AE52">
        <v>24.6</v>
      </c>
      <c r="AF52">
        <f>COUNTIFS(Graphes[DS_Temps],"&lt;="&amp;$AE52,Graphes[DS_Temps],"&lt;&gt;0")</f>
        <v>56</v>
      </c>
      <c r="AG52">
        <f>COUNTIFS(Graphes[DS_sans_clique_Temps],"&lt;="&amp;$AE52,Graphes[DS_sans_clique_Temps],"&lt;&gt;0")</f>
        <v>56</v>
      </c>
      <c r="AH52">
        <f>COUNTIFS(Graphes[FC_AC_30_Temps],"&lt;="&amp;$AE52,Graphes[FC_AC_30_Temps],"&lt;&gt;0")</f>
        <v>55</v>
      </c>
      <c r="AI52">
        <f>COUNTIFS(Graphes[FC_AC_30_sans_clique_Temps],"&lt;="&amp;$AE52,Graphes[FC_AC_30_sans_clique_Temps],"&lt;&gt;0")</f>
        <v>55</v>
      </c>
    </row>
    <row r="53" spans="1:35" x14ac:dyDescent="0.25">
      <c r="A53">
        <v>8.1999999999999993</v>
      </c>
      <c r="B53">
        <f>COUNTIFS(Graphes[FC_Temps],"&lt;="&amp;$A53,Graphes[FC_Solution],"&lt;&gt;0")</f>
        <v>54</v>
      </c>
      <c r="C53">
        <f>COUNTIFS(Graphes[FC_AC_Temps],"&lt;="&amp;$A53,Graphes[FC_AC_Solution],"&lt;&gt;0")</f>
        <v>40</v>
      </c>
      <c r="D53">
        <f>COUNTIFS(Graphes[FC_AC_30_Temps],"&lt;="&amp;$A53,Graphes[FC_AC_30_Solution],"&lt;&gt;0")</f>
        <v>52</v>
      </c>
      <c r="E53">
        <f>COUNTIFS(Graphes[DS_Temps],"&lt;="&amp;$A53,Graphes[DS_Solution],"&lt;&gt;0")</f>
        <v>55</v>
      </c>
      <c r="R53" t="s">
        <v>48</v>
      </c>
      <c r="S53">
        <f>VLOOKUP($R53,Graphes[],5,FALSE)*VLOOKUP($R53,Graphes[],7,FALSE)*VLOOKUP($R53,Graphes[],7,FALSE)</f>
        <v>88761591</v>
      </c>
      <c r="T53" s="6">
        <f>IF(VLOOKUP($R53,Graphes[],40,FALSE)&gt;0,VLOOKUP($R53,Graphes[],42,FALSE),"non")</f>
        <v>0.69617438316345204</v>
      </c>
      <c r="U53" s="6">
        <f>IF(VLOOKUP($R53,Graphes[],32,FALSE)&gt;0,VLOOKUP($R53,Graphes[],34,FALSE),"non")</f>
        <v>8.8421905040740896</v>
      </c>
      <c r="V53" s="6">
        <f>IF(VLOOKUP($R53,Graphes[],24,FALSE)&gt;0,VLOOKUP($R53,Graphes[],26,FALSE),"non")</f>
        <v>2.33088779449462</v>
      </c>
      <c r="W53" s="6">
        <f>IF(VLOOKUP($R53,Graphes[],8,FALSE)&gt;0,VLOOKUP($R53,Graphes[],10,FALSE),"non")</f>
        <v>0.67871212959289495</v>
      </c>
      <c r="Y53" t="s">
        <v>48</v>
      </c>
      <c r="Z53">
        <f>VLOOKUP($Y53,Graphes[],43,FALSE)</f>
        <v>1672</v>
      </c>
      <c r="AA53">
        <f>VLOOKUP($Y53,Graphes[],35,FALSE)</f>
        <v>156</v>
      </c>
      <c r="AB53">
        <f>VLOOKUP($Y53,Graphes[],27,FALSE)</f>
        <v>156</v>
      </c>
      <c r="AC53">
        <f>VLOOKUP($Y53,Graphes[],11,FALSE)</f>
        <v>1672</v>
      </c>
      <c r="AE53">
        <v>40.6</v>
      </c>
      <c r="AF53">
        <f>COUNTIFS(Graphes[DS_Temps],"&lt;="&amp;$AE53,Graphes[DS_Temps],"&lt;&gt;0")</f>
        <v>56</v>
      </c>
      <c r="AG53">
        <f>COUNTIFS(Graphes[DS_sans_clique_Temps],"&lt;="&amp;$AE53,Graphes[DS_sans_clique_Temps],"&lt;&gt;0")</f>
        <v>57</v>
      </c>
      <c r="AH53">
        <f>COUNTIFS(Graphes[FC_AC_30_Temps],"&lt;="&amp;$AE53,Graphes[FC_AC_30_Temps],"&lt;&gt;0")</f>
        <v>55</v>
      </c>
      <c r="AI53">
        <f>COUNTIFS(Graphes[FC_AC_30_sans_clique_Temps],"&lt;="&amp;$AE53,Graphes[FC_AC_30_sans_clique_Temps],"&lt;&gt;0")</f>
        <v>55</v>
      </c>
    </row>
    <row r="54" spans="1:35" x14ac:dyDescent="0.25">
      <c r="A54">
        <v>8.3000000000000007</v>
      </c>
      <c r="B54">
        <f>COUNTIFS(Graphes[FC_Temps],"&lt;="&amp;$A54,Graphes[FC_Solution],"&lt;&gt;0")</f>
        <v>54</v>
      </c>
      <c r="C54">
        <f>COUNTIFS(Graphes[FC_AC_Temps],"&lt;="&amp;$A54,Graphes[FC_AC_Solution],"&lt;&gt;0")</f>
        <v>41</v>
      </c>
      <c r="D54">
        <f>COUNTIFS(Graphes[FC_AC_30_Temps],"&lt;="&amp;$A54,Graphes[FC_AC_30_Solution],"&lt;&gt;0")</f>
        <v>52</v>
      </c>
      <c r="E54">
        <f>COUNTIFS(Graphes[DS_Temps],"&lt;="&amp;$A54,Graphes[DS_Solution],"&lt;&gt;0")</f>
        <v>55</v>
      </c>
      <c r="R54" t="s">
        <v>49</v>
      </c>
      <c r="S54">
        <f>VLOOKUP($R54,Graphes[],5,FALSE)*VLOOKUP($R54,Graphes[],7,FALSE)*VLOOKUP($R54,Graphes[],7,FALSE)</f>
        <v>90572800</v>
      </c>
      <c r="T54" s="6">
        <f>IF(VLOOKUP($R54,Graphes[],40,FALSE)&gt;0,VLOOKUP($R54,Graphes[],42,FALSE),"non")</f>
        <v>0.730610132217407</v>
      </c>
      <c r="U54" s="6">
        <f>IF(VLOOKUP($R54,Graphes[],32,FALSE)&gt;0,VLOOKUP($R54,Graphes[],34,FALSE),"non")</f>
        <v>8.8856062889099103</v>
      </c>
      <c r="V54" s="6">
        <f>IF(VLOOKUP($R54,Graphes[],24,FALSE)&gt;0,VLOOKUP($R54,Graphes[],26,FALSE),"non")</f>
        <v>2.16762375831604</v>
      </c>
      <c r="W54" s="6">
        <f>IF(VLOOKUP($R54,Graphes[],8,FALSE)&gt;0,VLOOKUP($R54,Graphes[],10,FALSE),"non")</f>
        <v>0.69767332077026301</v>
      </c>
      <c r="Y54" t="s">
        <v>49</v>
      </c>
      <c r="Z54">
        <f>VLOOKUP($Y54,Graphes[],43,FALSE)</f>
        <v>1673</v>
      </c>
      <c r="AA54">
        <f>VLOOKUP($Y54,Graphes[],35,FALSE)</f>
        <v>157</v>
      </c>
      <c r="AB54">
        <f>VLOOKUP($Y54,Graphes[],27,FALSE)</f>
        <v>157</v>
      </c>
      <c r="AC54">
        <f>VLOOKUP($Y54,Graphes[],11,FALSE)</f>
        <v>1673</v>
      </c>
      <c r="AE54">
        <v>42.5</v>
      </c>
      <c r="AF54">
        <f>COUNTIFS(Graphes[DS_Temps],"&lt;="&amp;$AE54,Graphes[DS_Temps],"&lt;&gt;0")</f>
        <v>56</v>
      </c>
      <c r="AG54">
        <f>COUNTIFS(Graphes[DS_sans_clique_Temps],"&lt;="&amp;$AE54,Graphes[DS_sans_clique_Temps],"&lt;&gt;0")</f>
        <v>58</v>
      </c>
      <c r="AH54">
        <f>COUNTIFS(Graphes[FC_AC_30_Temps],"&lt;="&amp;$AE54,Graphes[FC_AC_30_Temps],"&lt;&gt;0")</f>
        <v>55</v>
      </c>
      <c r="AI54">
        <f>COUNTIFS(Graphes[FC_AC_30_sans_clique_Temps],"&lt;="&amp;$AE54,Graphes[FC_AC_30_sans_clique_Temps],"&lt;&gt;0")</f>
        <v>55</v>
      </c>
    </row>
    <row r="55" spans="1:35" x14ac:dyDescent="0.25">
      <c r="A55">
        <v>8.4</v>
      </c>
      <c r="B55">
        <f>COUNTIFS(Graphes[FC_Temps],"&lt;="&amp;$A55,Graphes[FC_Solution],"&lt;&gt;0")</f>
        <v>54</v>
      </c>
      <c r="C55">
        <f>COUNTIFS(Graphes[FC_AC_Temps],"&lt;="&amp;$A55,Graphes[FC_AC_Solution],"&lt;&gt;0")</f>
        <v>42</v>
      </c>
      <c r="D55">
        <f>COUNTIFS(Graphes[FC_AC_30_Temps],"&lt;="&amp;$A55,Graphes[FC_AC_30_Solution],"&lt;&gt;0")</f>
        <v>52</v>
      </c>
      <c r="E55">
        <f>COUNTIFS(Graphes[DS_Temps],"&lt;="&amp;$A55,Graphes[DS_Solution],"&lt;&gt;0")</f>
        <v>55</v>
      </c>
      <c r="R55" t="s">
        <v>23</v>
      </c>
      <c r="S55">
        <f>VLOOKUP($R55,Graphes[],5,FALSE)*VLOOKUP($R55,Graphes[],7,FALSE)*VLOOKUP($R55,Graphes[],7,FALSE)</f>
        <v>95971755</v>
      </c>
      <c r="T55" s="6">
        <f>IF(VLOOKUP($R55,Graphes[],40,FALSE)&gt;0,VLOOKUP($R55,Graphes[],42,FALSE),"non")</f>
        <v>0.53198766708374001</v>
      </c>
      <c r="U55" s="6">
        <f>IF(VLOOKUP($R55,Graphes[],32,FALSE)&gt;0,VLOOKUP($R55,Graphes[],34,FALSE),"non")</f>
        <v>22.858041524887</v>
      </c>
      <c r="V55" s="6">
        <f>IF(VLOOKUP($R55,Graphes[],24,FALSE)&gt;0,VLOOKUP($R55,Graphes[],26,FALSE),"non")</f>
        <v>16.4680511951446</v>
      </c>
      <c r="W55" s="6">
        <f>IF(VLOOKUP($R55,Graphes[],8,FALSE)&gt;0,VLOOKUP($R55,Graphes[],10,FALSE),"non")</f>
        <v>0.51402378082275302</v>
      </c>
      <c r="Y55" t="s">
        <v>23</v>
      </c>
      <c r="Z55">
        <f>VLOOKUP($Y55,Graphes[],43,FALSE)</f>
        <v>877</v>
      </c>
      <c r="AA55">
        <f>VLOOKUP($Y55,Graphes[],35,FALSE)</f>
        <v>97</v>
      </c>
      <c r="AB55">
        <f>VLOOKUP($Y55,Graphes[],27,FALSE)</f>
        <v>97</v>
      </c>
      <c r="AC55">
        <f>VLOOKUP($Y55,Graphes[],11,FALSE)</f>
        <v>877</v>
      </c>
      <c r="AE55">
        <v>49</v>
      </c>
      <c r="AF55">
        <f>COUNTIFS(Graphes[DS_Temps],"&lt;="&amp;$AE55,Graphes[DS_Temps],"&lt;&gt;0")</f>
        <v>57</v>
      </c>
      <c r="AG55">
        <f>COUNTIFS(Graphes[DS_sans_clique_Temps],"&lt;="&amp;$AE55,Graphes[DS_sans_clique_Temps],"&lt;&gt;0")</f>
        <v>58</v>
      </c>
      <c r="AH55">
        <f>COUNTIFS(Graphes[FC_AC_30_Temps],"&lt;="&amp;$AE55,Graphes[FC_AC_30_Temps],"&lt;&gt;0")</f>
        <v>55</v>
      </c>
      <c r="AI55">
        <f>COUNTIFS(Graphes[FC_AC_30_sans_clique_Temps],"&lt;="&amp;$AE55,Graphes[FC_AC_30_sans_clique_Temps],"&lt;&gt;0")</f>
        <v>55</v>
      </c>
    </row>
    <row r="56" spans="1:35" x14ac:dyDescent="0.25">
      <c r="A56">
        <v>8.5</v>
      </c>
      <c r="B56">
        <f>COUNTIFS(Graphes[FC_Temps],"&lt;="&amp;$A56,Graphes[FC_Solution],"&lt;&gt;0")</f>
        <v>54</v>
      </c>
      <c r="C56">
        <f>COUNTIFS(Graphes[FC_AC_Temps],"&lt;="&amp;$A56,Graphes[FC_AC_Solution],"&lt;&gt;0")</f>
        <v>44</v>
      </c>
      <c r="D56">
        <f>COUNTIFS(Graphes[FC_AC_30_Temps],"&lt;="&amp;$A56,Graphes[FC_AC_30_Solution],"&lt;&gt;0")</f>
        <v>52</v>
      </c>
      <c r="E56">
        <f>COUNTIFS(Graphes[DS_Temps],"&lt;="&amp;$A56,Graphes[DS_Solution],"&lt;&gt;0")</f>
        <v>55</v>
      </c>
      <c r="R56" t="s">
        <v>37</v>
      </c>
      <c r="S56">
        <f>VLOOKUP($R56,Graphes[],5,FALSE)*VLOOKUP($R56,Graphes[],7,FALSE)*VLOOKUP($R56,Graphes[],7,FALSE)</f>
        <v>100477440</v>
      </c>
      <c r="T56" s="6">
        <f>IF(VLOOKUP($R56,Graphes[],40,FALSE)&gt;0,VLOOKUP($R56,Graphes[],42,FALSE),"non")</f>
        <v>1.6388804912567101</v>
      </c>
      <c r="U56" s="6">
        <f>IF(VLOOKUP($R56,Graphes[],32,FALSE)&gt;0,VLOOKUP($R56,Graphes[],34,FALSE),"non")</f>
        <v>17.8650350570678</v>
      </c>
      <c r="V56" s="6">
        <f>IF(VLOOKUP($R56,Graphes[],24,FALSE)&gt;0,VLOOKUP($R56,Graphes[],26,FALSE),"non")</f>
        <v>6.0756769180297798</v>
      </c>
      <c r="W56" s="6">
        <f>IF(VLOOKUP($R56,Graphes[],8,FALSE)&gt;0,VLOOKUP($R56,Graphes[],10,FALSE),"non")</f>
        <v>2.60155057907104</v>
      </c>
      <c r="Y56" t="s">
        <v>37</v>
      </c>
      <c r="Z56">
        <f>VLOOKUP($Y56,Graphes[],43,FALSE)</f>
        <v>744</v>
      </c>
      <c r="AA56">
        <f>VLOOKUP($Y56,Graphes[],35,FALSE)</f>
        <v>428</v>
      </c>
      <c r="AB56">
        <f>VLOOKUP($Y56,Graphes[],27,FALSE)</f>
        <v>428</v>
      </c>
      <c r="AC56">
        <f>VLOOKUP($Y56,Graphes[],11,FALSE)</f>
        <v>744</v>
      </c>
      <c r="AE56">
        <v>65</v>
      </c>
      <c r="AF56">
        <f>COUNTIFS(Graphes[DS_Temps],"&lt;="&amp;$AE56,Graphes[DS_Temps],"&lt;&gt;0")</f>
        <v>58</v>
      </c>
      <c r="AG56">
        <f>COUNTIFS(Graphes[DS_sans_clique_Temps],"&lt;="&amp;$AE56,Graphes[DS_sans_clique_Temps],"&lt;&gt;0")</f>
        <v>58</v>
      </c>
      <c r="AH56">
        <f>COUNTIFS(Graphes[FC_AC_30_Temps],"&lt;="&amp;$AE56,Graphes[FC_AC_30_Temps],"&lt;&gt;0")</f>
        <v>55</v>
      </c>
      <c r="AI56">
        <f>COUNTIFS(Graphes[FC_AC_30_sans_clique_Temps],"&lt;="&amp;$AE56,Graphes[FC_AC_30_sans_clique_Temps],"&lt;&gt;0")</f>
        <v>55</v>
      </c>
    </row>
    <row r="57" spans="1:35" x14ac:dyDescent="0.25">
      <c r="A57">
        <v>8.6999999999999993</v>
      </c>
      <c r="B57">
        <f>COUNTIFS(Graphes[FC_Temps],"&lt;="&amp;$A57,Graphes[FC_Solution],"&lt;&gt;0")</f>
        <v>54</v>
      </c>
      <c r="C57">
        <f>COUNTIFS(Graphes[FC_AC_Temps],"&lt;="&amp;$A57,Graphes[FC_AC_Solution],"&lt;&gt;0")</f>
        <v>44</v>
      </c>
      <c r="D57">
        <f>COUNTIFS(Graphes[FC_AC_30_Temps],"&lt;="&amp;$A57,Graphes[FC_AC_30_Solution],"&lt;&gt;0")</f>
        <v>53</v>
      </c>
      <c r="E57">
        <f>COUNTIFS(Graphes[DS_Temps],"&lt;="&amp;$A57,Graphes[DS_Solution],"&lt;&gt;0")</f>
        <v>55</v>
      </c>
      <c r="R57" t="s">
        <v>36</v>
      </c>
      <c r="S57">
        <f>VLOOKUP($R57,Graphes[],5,FALSE)*VLOOKUP($R57,Graphes[],7,FALSE)*VLOOKUP($R57,Graphes[],7,FALSE)</f>
        <v>132861744</v>
      </c>
      <c r="T57" s="6">
        <f>IF(VLOOKUP($R57,Graphes[],40,FALSE)&gt;0,VLOOKUP($R57,Graphes[],42,FALSE),"non")</f>
        <v>1.8499832153320299</v>
      </c>
      <c r="U57" s="6">
        <f>IF(VLOOKUP($R57,Graphes[],32,FALSE)&gt;0,VLOOKUP($R57,Graphes[],34,FALSE),"non")</f>
        <v>21.347915887832599</v>
      </c>
      <c r="V57" s="6">
        <f>IF(VLOOKUP($R57,Graphes[],24,FALSE)&gt;0,VLOOKUP($R57,Graphes[],26,FALSE),"non")</f>
        <v>8.6049776077270508</v>
      </c>
      <c r="W57" s="6">
        <f>IF(VLOOKUP($R57,Graphes[],8,FALSE)&gt;0,VLOOKUP($R57,Graphes[],10,FALSE),"non")</f>
        <v>3.0757775306701598</v>
      </c>
      <c r="Y57" t="s">
        <v>36</v>
      </c>
      <c r="Z57">
        <f>VLOOKUP($Y57,Graphes[],43,FALSE)</f>
        <v>761</v>
      </c>
      <c r="AA57">
        <f>VLOOKUP($Y57,Graphes[],35,FALSE)</f>
        <v>427</v>
      </c>
      <c r="AB57">
        <f>VLOOKUP($Y57,Graphes[],27,FALSE)</f>
        <v>427</v>
      </c>
      <c r="AC57">
        <f>VLOOKUP($Y57,Graphes[],11,FALSE)</f>
        <v>761</v>
      </c>
      <c r="AE57">
        <v>81.599999999999994</v>
      </c>
      <c r="AF57">
        <f>COUNTIFS(Graphes[DS_Temps],"&lt;="&amp;$AE57,Graphes[DS_Temps],"&lt;&gt;0")</f>
        <v>58</v>
      </c>
      <c r="AG57">
        <f>COUNTIFS(Graphes[DS_sans_clique_Temps],"&lt;="&amp;$AE57,Graphes[DS_sans_clique_Temps],"&lt;&gt;0")</f>
        <v>58</v>
      </c>
      <c r="AH57">
        <f>COUNTIFS(Graphes[FC_AC_30_Temps],"&lt;="&amp;$AE57,Graphes[FC_AC_30_Temps],"&lt;&gt;0")</f>
        <v>56</v>
      </c>
      <c r="AI57">
        <f>COUNTIFS(Graphes[FC_AC_30_sans_clique_Temps],"&lt;="&amp;$AE57,Graphes[FC_AC_30_sans_clique_Temps],"&lt;&gt;0")</f>
        <v>55</v>
      </c>
    </row>
    <row r="58" spans="1:35" x14ac:dyDescent="0.25">
      <c r="A58">
        <v>8.9</v>
      </c>
      <c r="B58">
        <f>COUNTIFS(Graphes[FC_Temps],"&lt;="&amp;$A58,Graphes[FC_Solution],"&lt;&gt;0")</f>
        <v>54</v>
      </c>
      <c r="C58">
        <f>COUNTIFS(Graphes[FC_AC_Temps],"&lt;="&amp;$A58,Graphes[FC_AC_Solution],"&lt;&gt;0")</f>
        <v>46</v>
      </c>
      <c r="D58">
        <f>COUNTIFS(Graphes[FC_AC_30_Temps],"&lt;="&amp;$A58,Graphes[FC_AC_30_Solution],"&lt;&gt;0")</f>
        <v>54</v>
      </c>
      <c r="E58">
        <f>COUNTIFS(Graphes[DS_Temps],"&lt;="&amp;$A58,Graphes[DS_Solution],"&lt;&gt;0")</f>
        <v>55</v>
      </c>
      <c r="R58" t="s">
        <v>70</v>
      </c>
      <c r="S58">
        <f>VLOOKUP($R58,Graphes[],5,FALSE)*VLOOKUP($R58,Graphes[],7,FALSE)*VLOOKUP($R58,Graphes[],7,FALSE)</f>
        <v>685408372</v>
      </c>
      <c r="T58" s="6">
        <f>IF(VLOOKUP($R58,Graphes[],40,FALSE)&gt;0,VLOOKUP($R58,Graphes[],42,FALSE),"non")</f>
        <v>40.518105983734102</v>
      </c>
      <c r="U58" s="6">
        <f>IF(VLOOKUP($R58,Graphes[],32,FALSE)&gt;0,VLOOKUP($R58,Graphes[],34,FALSE),"non")</f>
        <v>87.3468914031982</v>
      </c>
      <c r="V58" s="6">
        <f>IF(VLOOKUP($R58,Graphes[],24,FALSE)&gt;0,VLOOKUP($R58,Graphes[],26,FALSE),"non")</f>
        <v>81.582326412200899</v>
      </c>
      <c r="W58" s="6">
        <f>IF(VLOOKUP($R58,Graphes[],8,FALSE)&gt;0,VLOOKUP($R58,Graphes[],10,FALSE),"non")</f>
        <v>24.556789159774699</v>
      </c>
      <c r="Y58" t="s">
        <v>70</v>
      </c>
      <c r="Z58">
        <f>VLOOKUP($Y58,Graphes[],43,FALSE)</f>
        <v>4683</v>
      </c>
      <c r="AA58">
        <f>VLOOKUP($Y58,Graphes[],35,FALSE)</f>
        <v>453</v>
      </c>
      <c r="AB58">
        <f>VLOOKUP($Y58,Graphes[],27,FALSE)</f>
        <v>453</v>
      </c>
      <c r="AC58">
        <f>VLOOKUP($Y58,Graphes[],11,FALSE)</f>
        <v>4683</v>
      </c>
      <c r="AE58">
        <v>83.1</v>
      </c>
      <c r="AF58">
        <f>COUNTIFS(Graphes[DS_Temps],"&lt;="&amp;$AE58,Graphes[DS_Temps],"&lt;&gt;0")</f>
        <v>58</v>
      </c>
      <c r="AG58">
        <f>COUNTIFS(Graphes[DS_sans_clique_Temps],"&lt;="&amp;$AE58,Graphes[DS_sans_clique_Temps],"&lt;&gt;0")</f>
        <v>58</v>
      </c>
      <c r="AH58">
        <f>COUNTIFS(Graphes[FC_AC_30_Temps],"&lt;="&amp;$AE58,Graphes[FC_AC_30_Temps],"&lt;&gt;0")</f>
        <v>56</v>
      </c>
      <c r="AI58">
        <f>COUNTIFS(Graphes[FC_AC_30_sans_clique_Temps],"&lt;="&amp;$AE58,Graphes[FC_AC_30_sans_clique_Temps],"&lt;&gt;0")</f>
        <v>56</v>
      </c>
    </row>
    <row r="59" spans="1:35" x14ac:dyDescent="0.25">
      <c r="A59">
        <v>9.6999999999999993</v>
      </c>
      <c r="B59">
        <f>COUNTIFS(Graphes[FC_Temps],"&lt;="&amp;$A59,Graphes[FC_Solution],"&lt;&gt;0")</f>
        <v>54</v>
      </c>
      <c r="C59">
        <f>COUNTIFS(Graphes[FC_AC_Temps],"&lt;="&amp;$A59,Graphes[FC_AC_Solution],"&lt;&gt;0")</f>
        <v>47</v>
      </c>
      <c r="D59">
        <f>COUNTIFS(Graphes[FC_AC_30_Temps],"&lt;="&amp;$A59,Graphes[FC_AC_30_Solution],"&lt;&gt;0")</f>
        <v>54</v>
      </c>
      <c r="E59">
        <f>COUNTIFS(Graphes[DS_Temps],"&lt;="&amp;$A59,Graphes[DS_Solution],"&lt;&gt;0")</f>
        <v>55</v>
      </c>
      <c r="R59" t="s">
        <v>28</v>
      </c>
      <c r="S59">
        <f>VLOOKUP($R59,Graphes[],5,FALSE)*VLOOKUP($R59,Graphes[],7,FALSE)*VLOOKUP($R59,Graphes[],7,FALSE)</f>
        <v>1004211060</v>
      </c>
      <c r="T59" s="6">
        <f>IF(VLOOKUP($R59,Graphes[],40,FALSE)&gt;0,VLOOKUP($R59,Graphes[],42,FALSE),"non")</f>
        <v>96.298388242721501</v>
      </c>
      <c r="U59" s="6"/>
      <c r="V59" s="6">
        <f>IF(VLOOKUP($R59,Graphes[],24,FALSE)&gt;0,VLOOKUP($R59,Graphes[],26,FALSE),"non")</f>
        <v>94.106369733810396</v>
      </c>
      <c r="W59" s="6">
        <f>IF(VLOOKUP($R59,Graphes[],8,FALSE)&gt;0,VLOOKUP($R59,Graphes[],10,FALSE),"non")</f>
        <v>64.955965995788503</v>
      </c>
      <c r="Y59" t="s">
        <v>28</v>
      </c>
      <c r="Z59">
        <f>VLOOKUP($Y59,Graphes[],43,FALSE)</f>
        <v>953</v>
      </c>
      <c r="AB59">
        <f>VLOOKUP($Y59,Graphes[],27,FALSE)</f>
        <v>425</v>
      </c>
      <c r="AC59">
        <f>VLOOKUP($Y59,Graphes[],11,FALSE)</f>
        <v>953</v>
      </c>
      <c r="AE59">
        <v>94.2</v>
      </c>
      <c r="AF59">
        <f>COUNTIFS(Graphes[DS_Temps],"&lt;="&amp;$AE59,Graphes[DS_Temps],"&lt;&gt;0")</f>
        <v>58</v>
      </c>
      <c r="AG59">
        <f>COUNTIFS(Graphes[DS_sans_clique_Temps],"&lt;="&amp;$AE59,Graphes[DS_sans_clique_Temps],"&lt;&gt;0")</f>
        <v>58</v>
      </c>
      <c r="AH59">
        <f>COUNTIFS(Graphes[FC_AC_30_Temps],"&lt;="&amp;$AE59,Graphes[FC_AC_30_Temps],"&lt;&gt;0")</f>
        <v>57</v>
      </c>
      <c r="AI59">
        <f>COUNTIFS(Graphes[FC_AC_30_sans_clique_Temps],"&lt;="&amp;$AE59,Graphes[FC_AC_30_sans_clique_Temps],"&lt;&gt;0")</f>
        <v>56</v>
      </c>
    </row>
    <row r="60" spans="1:35" x14ac:dyDescent="0.25">
      <c r="A60">
        <v>9.9</v>
      </c>
      <c r="B60">
        <f>COUNTIFS(Graphes[FC_Temps],"&lt;="&amp;$A60,Graphes[FC_Solution],"&lt;&gt;0")</f>
        <v>54</v>
      </c>
      <c r="C60">
        <f>COUNTIFS(Graphes[FC_AC_Temps],"&lt;="&amp;$A60,Graphes[FC_AC_Solution],"&lt;&gt;0")</f>
        <v>48</v>
      </c>
      <c r="D60">
        <f>COUNTIFS(Graphes[FC_AC_30_Temps],"&lt;="&amp;$A60,Graphes[FC_AC_30_Solution],"&lt;&gt;0")</f>
        <v>54</v>
      </c>
      <c r="E60">
        <f>COUNTIFS(Graphes[DS_Temps],"&lt;="&amp;$A60,Graphes[DS_Solution],"&lt;&gt;0")</f>
        <v>55</v>
      </c>
      <c r="R60" t="s">
        <v>29</v>
      </c>
      <c r="S60">
        <f>VLOOKUP($R60,Graphes[],5,FALSE)*VLOOKUP($R60,Graphes[],7,FALSE)*VLOOKUP($R60,Graphes[],7,FALSE)</f>
        <v>1006980467</v>
      </c>
      <c r="T60" s="6">
        <f>IF(VLOOKUP($R60,Graphes[],40,FALSE)&gt;0,VLOOKUP($R60,Graphes[],42,FALSE),"non")</f>
        <v>36.417584657669003</v>
      </c>
      <c r="U60" s="6"/>
      <c r="V60" s="6"/>
      <c r="W60" s="6">
        <f>IF(VLOOKUP($R60,Graphes[],8,FALSE)&gt;0,VLOOKUP($R60,Graphes[],10,FALSE),"non")</f>
        <v>48.941218376159597</v>
      </c>
      <c r="Y60" t="s">
        <v>29</v>
      </c>
      <c r="Z60">
        <f>VLOOKUP($Y60,Graphes[],43,FALSE)</f>
        <v>1208</v>
      </c>
      <c r="AC60">
        <f>VLOOKUP($Y60,Graphes[],11,FALSE)</f>
        <v>1208</v>
      </c>
      <c r="AE60">
        <v>97</v>
      </c>
      <c r="AF60">
        <f>COUNTIFS(Graphes[DS_Temps],"&lt;="&amp;$AE60,Graphes[DS_Temps],"&lt;&gt;0")</f>
        <v>58</v>
      </c>
      <c r="AG60">
        <f>COUNTIFS(Graphes[DS_sans_clique_Temps],"&lt;="&amp;$AE60,Graphes[DS_sans_clique_Temps],"&lt;&gt;0")</f>
        <v>58</v>
      </c>
      <c r="AH60">
        <f>COUNTIFS(Graphes[FC_AC_30_Temps],"&lt;="&amp;$AE60,Graphes[FC_AC_30_Temps],"&lt;&gt;0")</f>
        <v>57</v>
      </c>
      <c r="AI60">
        <f>COUNTIFS(Graphes[FC_AC_30_sans_clique_Temps],"&lt;="&amp;$AE60,Graphes[FC_AC_30_sans_clique_Temps],"&lt;&gt;0")</f>
        <v>57</v>
      </c>
    </row>
    <row r="61" spans="1:35" x14ac:dyDescent="0.25">
      <c r="A61">
        <v>11</v>
      </c>
      <c r="B61">
        <f>COUNTIFS(Graphes[FC_Temps],"&lt;="&amp;$A61,Graphes[FC_Solution],"&lt;&gt;0")</f>
        <v>55</v>
      </c>
      <c r="C61">
        <f>COUNTIFS(Graphes[FC_AC_Temps],"&lt;="&amp;$A61,Graphes[FC_AC_Solution],"&lt;&gt;0")</f>
        <v>48</v>
      </c>
      <c r="D61">
        <f>COUNTIFS(Graphes[FC_AC_30_Temps],"&lt;="&amp;$A61,Graphes[FC_AC_30_Solution],"&lt;&gt;0")</f>
        <v>54</v>
      </c>
      <c r="E61">
        <f>COUNTIFS(Graphes[DS_Temps],"&lt;="&amp;$A61,Graphes[DS_Solution],"&lt;&gt;0")</f>
        <v>55</v>
      </c>
      <c r="AE61">
        <v>100.1</v>
      </c>
      <c r="AF61">
        <f>COUNTIFS(Graphes[DS_Temps],"&lt;="&amp;$AE61,Graphes[DS_Temps],"&lt;&gt;0")</f>
        <v>58</v>
      </c>
      <c r="AG61">
        <f>COUNTIFS(Graphes[DS_sans_clique_Temps],"&lt;="&amp;$AE61,Graphes[DS_sans_clique_Temps],"&lt;&gt;0")</f>
        <v>58</v>
      </c>
      <c r="AH61">
        <f>COUNTIFS(Graphes[FC_AC_30_Temps],"&lt;="&amp;$AE61,Graphes[FC_AC_30_Temps],"&lt;&gt;0")</f>
        <v>57</v>
      </c>
      <c r="AI61">
        <f>COUNTIFS(Graphes[FC_AC_30_sans_clique_Temps],"&lt;="&amp;$AE61,Graphes[FC_AC_30_sans_clique_Temps],"&lt;&gt;0")</f>
        <v>58</v>
      </c>
    </row>
    <row r="62" spans="1:35" x14ac:dyDescent="0.25">
      <c r="A62">
        <v>12.9</v>
      </c>
      <c r="B62">
        <f>COUNTIFS(Graphes[FC_Temps],"&lt;="&amp;$A62,Graphes[FC_Solution],"&lt;&gt;0")</f>
        <v>55</v>
      </c>
      <c r="C62">
        <f>COUNTIFS(Graphes[FC_AC_Temps],"&lt;="&amp;$A62,Graphes[FC_AC_Solution],"&lt;&gt;0")</f>
        <v>49</v>
      </c>
      <c r="D62">
        <f>COUNTIFS(Graphes[FC_AC_30_Temps],"&lt;="&amp;$A62,Graphes[FC_AC_30_Solution],"&lt;&gt;0")</f>
        <v>54</v>
      </c>
      <c r="E62">
        <f>COUNTIFS(Graphes[DS_Temps],"&lt;="&amp;$A62,Graphes[DS_Solution],"&lt;&gt;0")</f>
        <v>55</v>
      </c>
      <c r="AE62">
        <v>120</v>
      </c>
      <c r="AF62">
        <f>COUNTIFS(Graphes[DS_Temps],"&lt;="&amp;$AE62,Graphes[DS_Temps],"&lt;&gt;0")</f>
        <v>58</v>
      </c>
      <c r="AG62">
        <f>COUNTIFS(Graphes[DS_sans_clique_Temps],"&lt;="&amp;$AE62,Graphes[DS_sans_clique_Temps],"&lt;&gt;0")</f>
        <v>58</v>
      </c>
      <c r="AH62">
        <f>COUNTIFS(Graphes[FC_AC_30_Temps],"&lt;="&amp;$AE62,Graphes[FC_AC_30_Temps],"&lt;&gt;0")</f>
        <v>57</v>
      </c>
      <c r="AI62">
        <f>COUNTIFS(Graphes[FC_AC_30_sans_clique_Temps],"&lt;="&amp;$AE62,Graphes[FC_AC_30_sans_clique_Temps],"&lt;&gt;0")</f>
        <v>58</v>
      </c>
    </row>
    <row r="63" spans="1:35" x14ac:dyDescent="0.25">
      <c r="A63">
        <v>13.4</v>
      </c>
      <c r="B63">
        <f>COUNTIFS(Graphes[FC_Temps],"&lt;="&amp;$A63,Graphes[FC_Solution],"&lt;&gt;0")</f>
        <v>55</v>
      </c>
      <c r="C63">
        <f>COUNTIFS(Graphes[FC_AC_Temps],"&lt;="&amp;$A63,Graphes[FC_AC_Solution],"&lt;&gt;0")</f>
        <v>50</v>
      </c>
      <c r="D63">
        <f>COUNTIFS(Graphes[FC_AC_30_Temps],"&lt;="&amp;$A63,Graphes[FC_AC_30_Solution],"&lt;&gt;0")</f>
        <v>54</v>
      </c>
      <c r="E63">
        <f>COUNTIFS(Graphes[DS_Temps],"&lt;="&amp;$A63,Graphes[DS_Solution],"&lt;&gt;0")</f>
        <v>55</v>
      </c>
    </row>
    <row r="64" spans="1:35" x14ac:dyDescent="0.25">
      <c r="A64">
        <v>14</v>
      </c>
      <c r="B64">
        <f>COUNTIFS(Graphes[FC_Temps],"&lt;="&amp;$A64,Graphes[FC_Solution],"&lt;&gt;0")</f>
        <v>55</v>
      </c>
      <c r="C64">
        <f>COUNTIFS(Graphes[FC_AC_Temps],"&lt;="&amp;$A64,Graphes[FC_AC_Solution],"&lt;&gt;0")</f>
        <v>51</v>
      </c>
      <c r="D64">
        <f>COUNTIFS(Graphes[FC_AC_30_Temps],"&lt;="&amp;$A64,Graphes[FC_AC_30_Solution],"&lt;&gt;0")</f>
        <v>54</v>
      </c>
      <c r="E64">
        <f>COUNTIFS(Graphes[DS_Temps],"&lt;="&amp;$A64,Graphes[DS_Solution],"&lt;&gt;0")</f>
        <v>55</v>
      </c>
    </row>
    <row r="65" spans="1:5" x14ac:dyDescent="0.25">
      <c r="A65">
        <v>16.5</v>
      </c>
      <c r="B65">
        <f>COUNTIFS(Graphes[FC_Temps],"&lt;="&amp;$A65,Graphes[FC_Solution],"&lt;&gt;0")</f>
        <v>55</v>
      </c>
      <c r="C65">
        <f>COUNTIFS(Graphes[FC_AC_Temps],"&lt;="&amp;$A65,Graphes[FC_AC_Solution],"&lt;&gt;0")</f>
        <v>51</v>
      </c>
      <c r="D65">
        <f>COUNTIFS(Graphes[FC_AC_30_Temps],"&lt;="&amp;$A65,Graphes[FC_AC_30_Solution],"&lt;&gt;0")</f>
        <v>55</v>
      </c>
      <c r="E65">
        <f>COUNTIFS(Graphes[DS_Temps],"&lt;="&amp;$A65,Graphes[DS_Solution],"&lt;&gt;0")</f>
        <v>55</v>
      </c>
    </row>
    <row r="66" spans="1:5" x14ac:dyDescent="0.25">
      <c r="A66">
        <v>17.899999999999999</v>
      </c>
      <c r="B66">
        <f>COUNTIFS(Graphes[FC_Temps],"&lt;="&amp;$A66,Graphes[FC_Solution],"&lt;&gt;0")</f>
        <v>55</v>
      </c>
      <c r="C66">
        <f>COUNTIFS(Graphes[FC_AC_Temps],"&lt;="&amp;$A66,Graphes[FC_AC_Solution],"&lt;&gt;0")</f>
        <v>52</v>
      </c>
      <c r="D66">
        <f>COUNTIFS(Graphes[FC_AC_30_Temps],"&lt;="&amp;$A66,Graphes[FC_AC_30_Solution],"&lt;&gt;0")</f>
        <v>55</v>
      </c>
      <c r="E66">
        <f>COUNTIFS(Graphes[DS_Temps],"&lt;="&amp;$A66,Graphes[DS_Solution],"&lt;&gt;0")</f>
        <v>55</v>
      </c>
    </row>
    <row r="67" spans="1:5" x14ac:dyDescent="0.25">
      <c r="A67">
        <v>18.3</v>
      </c>
      <c r="B67">
        <f>COUNTIFS(Graphes[FC_Temps],"&lt;="&amp;$A67,Graphes[FC_Solution],"&lt;&gt;0")</f>
        <v>55</v>
      </c>
      <c r="C67">
        <f>COUNTIFS(Graphes[FC_AC_Temps],"&lt;="&amp;$A67,Graphes[FC_AC_Solution],"&lt;&gt;0")</f>
        <v>53</v>
      </c>
      <c r="D67">
        <f>COUNTIFS(Graphes[FC_AC_30_Temps],"&lt;="&amp;$A67,Graphes[FC_AC_30_Solution],"&lt;&gt;0")</f>
        <v>55</v>
      </c>
      <c r="E67">
        <f>COUNTIFS(Graphes[DS_Temps],"&lt;="&amp;$A67,Graphes[DS_Solution],"&lt;&gt;0")</f>
        <v>55</v>
      </c>
    </row>
    <row r="68" spans="1:5" x14ac:dyDescent="0.25">
      <c r="A68">
        <v>21.4</v>
      </c>
      <c r="B68">
        <f>COUNTIFS(Graphes[FC_Temps],"&lt;="&amp;$A68,Graphes[FC_Solution],"&lt;&gt;0")</f>
        <v>55</v>
      </c>
      <c r="C68">
        <f>COUNTIFS(Graphes[FC_AC_Temps],"&lt;="&amp;$A68,Graphes[FC_AC_Solution],"&lt;&gt;0")</f>
        <v>54</v>
      </c>
      <c r="D68">
        <f>COUNTIFS(Graphes[FC_AC_30_Temps],"&lt;="&amp;$A68,Graphes[FC_AC_30_Solution],"&lt;&gt;0")</f>
        <v>55</v>
      </c>
      <c r="E68">
        <f>COUNTIFS(Graphes[DS_Temps],"&lt;="&amp;$A68,Graphes[DS_Solution],"&lt;&gt;0")</f>
        <v>55</v>
      </c>
    </row>
    <row r="69" spans="1:5" x14ac:dyDescent="0.25">
      <c r="A69">
        <v>22.9</v>
      </c>
      <c r="B69">
        <f>COUNTIFS(Graphes[FC_Temps],"&lt;="&amp;$A69,Graphes[FC_Solution],"&lt;&gt;0")</f>
        <v>55</v>
      </c>
      <c r="C69">
        <f>COUNTIFS(Graphes[FC_AC_Temps],"&lt;="&amp;$A69,Graphes[FC_AC_Solution],"&lt;&gt;0")</f>
        <v>55</v>
      </c>
      <c r="D69">
        <f>COUNTIFS(Graphes[FC_AC_30_Temps],"&lt;="&amp;$A69,Graphes[FC_AC_30_Solution],"&lt;&gt;0")</f>
        <v>55</v>
      </c>
      <c r="E69">
        <f>COUNTIFS(Graphes[DS_Temps],"&lt;="&amp;$A69,Graphes[DS_Solution],"&lt;&gt;0")</f>
        <v>55</v>
      </c>
    </row>
    <row r="70" spans="1:5" x14ac:dyDescent="0.25">
      <c r="A70">
        <v>24.6</v>
      </c>
      <c r="B70">
        <f>COUNTIFS(Graphes[FC_Temps],"&lt;="&amp;$A70,Graphes[FC_Solution],"&lt;&gt;0")</f>
        <v>55</v>
      </c>
      <c r="C70">
        <f>COUNTIFS(Graphes[FC_AC_Temps],"&lt;="&amp;$A70,Graphes[FC_AC_Solution],"&lt;&gt;0")</f>
        <v>55</v>
      </c>
      <c r="D70">
        <f>COUNTIFS(Graphes[FC_AC_30_Temps],"&lt;="&amp;$A70,Graphes[FC_AC_30_Solution],"&lt;&gt;0")</f>
        <v>55</v>
      </c>
      <c r="E70">
        <f>COUNTIFS(Graphes[DS_Temps],"&lt;="&amp;$A70,Graphes[DS_Solution],"&lt;&gt;0")</f>
        <v>56</v>
      </c>
    </row>
    <row r="71" spans="1:5" x14ac:dyDescent="0.25">
      <c r="A71">
        <v>36.5</v>
      </c>
      <c r="B71">
        <f>COUNTIFS(Graphes[FC_Temps],"&lt;="&amp;$A71,Graphes[FC_Solution],"&lt;&gt;0")</f>
        <v>56</v>
      </c>
      <c r="C71">
        <f>COUNTIFS(Graphes[FC_AC_Temps],"&lt;="&amp;$A71,Graphes[FC_AC_Solution],"&lt;&gt;0")</f>
        <v>55</v>
      </c>
      <c r="D71">
        <f>COUNTIFS(Graphes[FC_AC_30_Temps],"&lt;="&amp;$A71,Graphes[FC_AC_30_Solution],"&lt;&gt;0")</f>
        <v>55</v>
      </c>
      <c r="E71">
        <f>COUNTIFS(Graphes[DS_Temps],"&lt;="&amp;$A71,Graphes[DS_Solution],"&lt;&gt;0")</f>
        <v>56</v>
      </c>
    </row>
    <row r="72" spans="1:5" x14ac:dyDescent="0.25">
      <c r="A72">
        <v>40.6</v>
      </c>
      <c r="B72">
        <f>COUNTIFS(Graphes[FC_Temps],"&lt;="&amp;$A72,Graphes[FC_Solution],"&lt;&gt;0")</f>
        <v>57</v>
      </c>
      <c r="C72">
        <f>COUNTIFS(Graphes[FC_AC_Temps],"&lt;="&amp;$A72,Graphes[FC_AC_Solution],"&lt;&gt;0")</f>
        <v>55</v>
      </c>
      <c r="D72">
        <f>COUNTIFS(Graphes[FC_AC_30_Temps],"&lt;="&amp;$A72,Graphes[FC_AC_30_Solution],"&lt;&gt;0")</f>
        <v>55</v>
      </c>
      <c r="E72">
        <f>COUNTIFS(Graphes[DS_Temps],"&lt;="&amp;$A72,Graphes[DS_Solution],"&lt;&gt;0")</f>
        <v>56</v>
      </c>
    </row>
    <row r="73" spans="1:5" x14ac:dyDescent="0.25">
      <c r="A73">
        <v>49</v>
      </c>
      <c r="B73">
        <f>COUNTIFS(Graphes[FC_Temps],"&lt;="&amp;$A73,Graphes[FC_Solution],"&lt;&gt;0")</f>
        <v>57</v>
      </c>
      <c r="C73">
        <f>COUNTIFS(Graphes[FC_AC_Temps],"&lt;="&amp;$A73,Graphes[FC_AC_Solution],"&lt;&gt;0")</f>
        <v>55</v>
      </c>
      <c r="D73">
        <f>COUNTIFS(Graphes[FC_AC_30_Temps],"&lt;="&amp;$A73,Graphes[FC_AC_30_Solution],"&lt;&gt;0")</f>
        <v>55</v>
      </c>
      <c r="E73">
        <f>COUNTIFS(Graphes[DS_Temps],"&lt;="&amp;$A73,Graphes[DS_Solution],"&lt;&gt;0")</f>
        <v>57</v>
      </c>
    </row>
    <row r="74" spans="1:5" x14ac:dyDescent="0.25">
      <c r="A74">
        <v>65</v>
      </c>
      <c r="B74">
        <f>COUNTIFS(Graphes[FC_Temps],"&lt;="&amp;$A74,Graphes[FC_Solution],"&lt;&gt;0")</f>
        <v>57</v>
      </c>
      <c r="C74">
        <f>COUNTIFS(Graphes[FC_AC_Temps],"&lt;="&amp;$A74,Graphes[FC_AC_Solution],"&lt;&gt;0")</f>
        <v>55</v>
      </c>
      <c r="D74">
        <f>COUNTIFS(Graphes[FC_AC_30_Temps],"&lt;="&amp;$A74,Graphes[FC_AC_30_Solution],"&lt;&gt;0")</f>
        <v>55</v>
      </c>
      <c r="E74">
        <f>COUNTIFS(Graphes[DS_Temps],"&lt;="&amp;$A74,Graphes[DS_Solution],"&lt;&gt;0")</f>
        <v>58</v>
      </c>
    </row>
    <row r="75" spans="1:5" x14ac:dyDescent="0.25">
      <c r="A75">
        <v>81.599999999999994</v>
      </c>
      <c r="B75">
        <f>COUNTIFS(Graphes[FC_Temps],"&lt;="&amp;$A75,Graphes[FC_Solution],"&lt;&gt;0")</f>
        <v>57</v>
      </c>
      <c r="C75">
        <f>COUNTIFS(Graphes[FC_AC_Temps],"&lt;="&amp;$A75,Graphes[FC_AC_Solution],"&lt;&gt;0")</f>
        <v>55</v>
      </c>
      <c r="D75">
        <f>COUNTIFS(Graphes[FC_AC_30_Temps],"&lt;="&amp;$A75,Graphes[FC_AC_30_Solution],"&lt;&gt;0")</f>
        <v>56</v>
      </c>
      <c r="E75">
        <f>COUNTIFS(Graphes[DS_Temps],"&lt;="&amp;$A75,Graphes[DS_Solution],"&lt;&gt;0")</f>
        <v>58</v>
      </c>
    </row>
    <row r="76" spans="1:5" x14ac:dyDescent="0.25">
      <c r="A76">
        <v>87.4</v>
      </c>
      <c r="B76">
        <f>COUNTIFS(Graphes[FC_Temps],"&lt;="&amp;$A76,Graphes[FC_Solution],"&lt;&gt;0")</f>
        <v>57</v>
      </c>
      <c r="C76">
        <f>COUNTIFS(Graphes[FC_AC_Temps],"&lt;="&amp;$A76,Graphes[FC_AC_Solution],"&lt;&gt;0")</f>
        <v>56</v>
      </c>
      <c r="D76">
        <f>COUNTIFS(Graphes[FC_AC_30_Temps],"&lt;="&amp;$A76,Graphes[FC_AC_30_Solution],"&lt;&gt;0")</f>
        <v>56</v>
      </c>
      <c r="E76">
        <f>COUNTIFS(Graphes[DS_Temps],"&lt;="&amp;$A76,Graphes[DS_Solution],"&lt;&gt;0")</f>
        <v>58</v>
      </c>
    </row>
    <row r="77" spans="1:5" x14ac:dyDescent="0.25">
      <c r="A77">
        <v>94.2</v>
      </c>
      <c r="B77">
        <f>COUNTIFS(Graphes[FC_Temps],"&lt;="&amp;$A77,Graphes[FC_Solution],"&lt;&gt;0")</f>
        <v>57</v>
      </c>
      <c r="C77">
        <f>COUNTIFS(Graphes[FC_AC_Temps],"&lt;="&amp;$A77,Graphes[FC_AC_Solution],"&lt;&gt;0")</f>
        <v>56</v>
      </c>
      <c r="D77">
        <f>COUNTIFS(Graphes[FC_AC_30_Temps],"&lt;="&amp;$A77,Graphes[FC_AC_30_Solution],"&lt;&gt;0")</f>
        <v>57</v>
      </c>
      <c r="E77">
        <f>COUNTIFS(Graphes[DS_Temps],"&lt;="&amp;$A77,Graphes[DS_Solution],"&lt;&gt;0")</f>
        <v>58</v>
      </c>
    </row>
    <row r="78" spans="1:5" x14ac:dyDescent="0.25">
      <c r="A78">
        <v>96.3</v>
      </c>
      <c r="B78">
        <f>COUNTIFS(Graphes[FC_Temps],"&lt;="&amp;$A78,Graphes[FC_Solution],"&lt;&gt;0")</f>
        <v>58</v>
      </c>
      <c r="C78">
        <f>COUNTIFS(Graphes[FC_AC_Temps],"&lt;="&amp;$A78,Graphes[FC_AC_Solution],"&lt;&gt;0")</f>
        <v>56</v>
      </c>
      <c r="D78">
        <f>COUNTIFS(Graphes[FC_AC_30_Temps],"&lt;="&amp;$A78,Graphes[FC_AC_30_Solution],"&lt;&gt;0")</f>
        <v>57</v>
      </c>
      <c r="E78">
        <f>COUNTIFS(Graphes[DS_Temps],"&lt;="&amp;$A78,Graphes[DS_Solution],"&lt;&gt;0")</f>
        <v>58</v>
      </c>
    </row>
    <row r="79" spans="1:5" x14ac:dyDescent="0.25">
      <c r="A79">
        <v>120</v>
      </c>
      <c r="B79">
        <f>COUNTIFS(Graphes[FC_Temps],"&lt;="&amp;$A79,Graphes[FC_Solution],"&lt;&gt;0")</f>
        <v>58</v>
      </c>
      <c r="C79">
        <f>COUNTIFS(Graphes[FC_AC_Temps],"&lt;="&amp;$A79,Graphes[FC_AC_Solution],"&lt;&gt;0")</f>
        <v>56</v>
      </c>
      <c r="D79">
        <f>COUNTIFS(Graphes[FC_AC_30_Temps],"&lt;="&amp;$A79,Graphes[FC_AC_30_Solution],"&lt;&gt;0")</f>
        <v>57</v>
      </c>
      <c r="E79">
        <f>COUNTIFS(Graphes[DS_Temps],"&lt;="&amp;$A79,Graphes[DS_Solution],"&lt;&gt;0")</f>
        <v>58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6329-3D6F-44E3-8259-8205FA9F8C53}">
  <dimension ref="A1"/>
  <sheetViews>
    <sheetView topLeftCell="A55" workbookViewId="0">
      <selection activeCell="C21" sqref="C21:D21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596B-42C6-49A8-BEF3-453C3209F430}">
  <dimension ref="Z1"/>
  <sheetViews>
    <sheetView tabSelected="1" topLeftCell="A22" workbookViewId="0">
      <selection activeCell="B26" sqref="B26"/>
    </sheetView>
  </sheetViews>
  <sheetFormatPr baseColWidth="10" defaultColWidth="9.140625" defaultRowHeight="15" x14ac:dyDescent="0.25"/>
  <sheetData>
    <row r="1" spans="26:26" x14ac:dyDescent="0.25">
      <c r="Z1" t="s">
        <v>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5575-0C53-4759-AF14-53204A66E178}">
  <dimension ref="A1:AQ62"/>
  <sheetViews>
    <sheetView zoomScaleNormal="100" workbookViewId="0">
      <pane xSplit="1" ySplit="4" topLeftCell="K5" activePane="bottomRight" state="frozen"/>
      <selection pane="topRight" activeCell="B1" sqref="B1"/>
      <selection pane="bottomLeft" activeCell="A4" sqref="A4"/>
      <selection pane="bottomRight" activeCell="AI9" sqref="AI9"/>
    </sheetView>
  </sheetViews>
  <sheetFormatPr baseColWidth="10" defaultColWidth="11.5703125" defaultRowHeight="15" x14ac:dyDescent="0.25"/>
  <cols>
    <col min="1" max="1" width="18.42578125" customWidth="1"/>
    <col min="2" max="43" width="7.42578125" customWidth="1"/>
  </cols>
  <sheetData>
    <row r="1" spans="1:4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</row>
    <row r="2" spans="1:43" x14ac:dyDescent="0.25">
      <c r="G2" s="8" t="s">
        <v>14</v>
      </c>
      <c r="N2" s="8" t="s">
        <v>6</v>
      </c>
      <c r="U2" s="8" t="s">
        <v>606</v>
      </c>
      <c r="AB2" s="8" t="s">
        <v>381</v>
      </c>
      <c r="AF2" t="s">
        <v>608</v>
      </c>
      <c r="AJ2" s="8" t="s">
        <v>504</v>
      </c>
    </row>
    <row r="3" spans="1:43" x14ac:dyDescent="0.25">
      <c r="A3" t="s">
        <v>7</v>
      </c>
      <c r="E3" t="s">
        <v>15</v>
      </c>
      <c r="G3" t="s">
        <v>12</v>
      </c>
      <c r="H3" t="s">
        <v>356</v>
      </c>
      <c r="I3" t="s">
        <v>5</v>
      </c>
      <c r="J3" t="s">
        <v>357</v>
      </c>
      <c r="K3" t="s">
        <v>358</v>
      </c>
      <c r="M3" t="s">
        <v>359</v>
      </c>
      <c r="N3" t="s">
        <v>12</v>
      </c>
      <c r="O3" t="s">
        <v>356</v>
      </c>
      <c r="P3" t="s">
        <v>5</v>
      </c>
      <c r="Q3" t="s">
        <v>357</v>
      </c>
      <c r="R3" t="s">
        <v>358</v>
      </c>
      <c r="T3" t="s">
        <v>359</v>
      </c>
      <c r="U3" t="s">
        <v>12</v>
      </c>
      <c r="V3" t="s">
        <v>356</v>
      </c>
      <c r="W3" t="s">
        <v>5</v>
      </c>
      <c r="X3" t="s">
        <v>357</v>
      </c>
      <c r="Y3" t="s">
        <v>358</v>
      </c>
      <c r="AA3" t="s">
        <v>359</v>
      </c>
      <c r="AB3" t="s">
        <v>12</v>
      </c>
      <c r="AC3" t="s">
        <v>356</v>
      </c>
      <c r="AD3" t="s">
        <v>5</v>
      </c>
      <c r="AE3" t="s">
        <v>357</v>
      </c>
      <c r="AF3" t="s">
        <v>358</v>
      </c>
      <c r="AH3" t="s">
        <v>359</v>
      </c>
      <c r="AJ3" t="s">
        <v>12</v>
      </c>
      <c r="AK3" t="s">
        <v>356</v>
      </c>
      <c r="AL3" t="s">
        <v>5</v>
      </c>
      <c r="AM3" t="s">
        <v>357</v>
      </c>
      <c r="AN3" t="s">
        <v>358</v>
      </c>
      <c r="AP3" t="s">
        <v>359</v>
      </c>
    </row>
    <row r="4" spans="1:43" x14ac:dyDescent="0.25">
      <c r="A4" t="s">
        <v>7</v>
      </c>
      <c r="B4" t="s">
        <v>375</v>
      </c>
      <c r="C4" t="s">
        <v>376</v>
      </c>
      <c r="D4" t="s">
        <v>377</v>
      </c>
      <c r="E4" t="s">
        <v>15</v>
      </c>
      <c r="F4" t="s">
        <v>380</v>
      </c>
      <c r="G4" t="s">
        <v>77</v>
      </c>
      <c r="H4" t="s">
        <v>360</v>
      </c>
      <c r="I4" t="s">
        <v>78</v>
      </c>
      <c r="J4" t="s">
        <v>361</v>
      </c>
      <c r="K4" t="s">
        <v>362</v>
      </c>
      <c r="L4" t="s">
        <v>372</v>
      </c>
      <c r="M4" t="s">
        <v>363</v>
      </c>
      <c r="N4" t="s">
        <v>91</v>
      </c>
      <c r="O4" t="s">
        <v>364</v>
      </c>
      <c r="P4" t="s">
        <v>92</v>
      </c>
      <c r="Q4" t="s">
        <v>365</v>
      </c>
      <c r="R4" t="s">
        <v>366</v>
      </c>
      <c r="S4" t="s">
        <v>373</v>
      </c>
      <c r="T4" t="s">
        <v>367</v>
      </c>
      <c r="U4" t="s">
        <v>84</v>
      </c>
      <c r="V4" t="s">
        <v>368</v>
      </c>
      <c r="W4" t="s">
        <v>85</v>
      </c>
      <c r="X4" t="s">
        <v>369</v>
      </c>
      <c r="Y4" t="s">
        <v>370</v>
      </c>
      <c r="Z4" t="s">
        <v>374</v>
      </c>
      <c r="AA4" t="s">
        <v>371</v>
      </c>
      <c r="AB4" t="s">
        <v>388</v>
      </c>
      <c r="AC4" t="s">
        <v>382</v>
      </c>
      <c r="AD4" t="s">
        <v>383</v>
      </c>
      <c r="AE4" t="s">
        <v>384</v>
      </c>
      <c r="AF4" t="s">
        <v>385</v>
      </c>
      <c r="AG4" t="s">
        <v>386</v>
      </c>
      <c r="AH4" t="s">
        <v>387</v>
      </c>
      <c r="AI4" t="s">
        <v>497</v>
      </c>
      <c r="AJ4" t="s">
        <v>505</v>
      </c>
      <c r="AK4" t="s">
        <v>515</v>
      </c>
      <c r="AL4" t="s">
        <v>507</v>
      </c>
      <c r="AM4" t="s">
        <v>516</v>
      </c>
      <c r="AN4" t="s">
        <v>517</v>
      </c>
      <c r="AO4" t="s">
        <v>518</v>
      </c>
      <c r="AP4" t="s">
        <v>519</v>
      </c>
      <c r="AQ4" t="s">
        <v>520</v>
      </c>
    </row>
    <row r="5" spans="1:43" x14ac:dyDescent="0.25">
      <c r="A5" t="s">
        <v>28</v>
      </c>
      <c r="B5">
        <v>8340</v>
      </c>
      <c r="C5">
        <v>347</v>
      </c>
      <c r="D5">
        <f>Opti[[#This Row],[nb contraintes]]*Opti[[#This Row],[domaine max]]*Opti[[#This Row],[domaine max]]</f>
        <v>1004211060</v>
      </c>
      <c r="E5">
        <v>30</v>
      </c>
      <c r="F5">
        <v>27</v>
      </c>
      <c r="G5">
        <v>33</v>
      </c>
      <c r="H5" t="b">
        <v>0</v>
      </c>
      <c r="I5">
        <v>1036.43744039535</v>
      </c>
      <c r="J5">
        <v>2</v>
      </c>
      <c r="K5" t="s">
        <v>220</v>
      </c>
      <c r="L5">
        <v>600.28947067260697</v>
      </c>
      <c r="M5" t="s">
        <v>125</v>
      </c>
      <c r="N5">
        <v>33</v>
      </c>
      <c r="O5" t="b">
        <v>0</v>
      </c>
      <c r="P5">
        <v>906.61167764663696</v>
      </c>
      <c r="Q5">
        <v>2</v>
      </c>
      <c r="R5" t="s">
        <v>221</v>
      </c>
      <c r="S5">
        <v>600.00128197669903</v>
      </c>
      <c r="T5" t="s">
        <v>125</v>
      </c>
      <c r="U5">
        <v>30</v>
      </c>
      <c r="V5" t="b">
        <v>0</v>
      </c>
      <c r="W5">
        <v>1196.9288547039</v>
      </c>
      <c r="X5">
        <v>2</v>
      </c>
      <c r="Y5" t="s">
        <v>222</v>
      </c>
      <c r="Z5">
        <v>600.00300908088605</v>
      </c>
      <c r="AA5" t="s">
        <v>158</v>
      </c>
      <c r="AB5">
        <v>0</v>
      </c>
      <c r="AC5" t="b">
        <v>0</v>
      </c>
      <c r="AD5">
        <v>1422.5872712135299</v>
      </c>
      <c r="AE5">
        <v>2</v>
      </c>
      <c r="AF5" t="s">
        <v>453</v>
      </c>
      <c r="AG5">
        <v>644.43951463699295</v>
      </c>
      <c r="AH5" t="s">
        <v>158</v>
      </c>
      <c r="AI5" t="s">
        <v>401</v>
      </c>
      <c r="AJ5">
        <v>0</v>
      </c>
      <c r="AK5" t="b">
        <f>IF(Opti[[#This Row],[FC_AC_30_sans_clique_Solution]]&gt;0,TRUE,FALSE)</f>
        <v>0</v>
      </c>
      <c r="AL5">
        <v>1474.5955531597101</v>
      </c>
      <c r="AM5">
        <v>2</v>
      </c>
      <c r="AN5" t="s">
        <v>631</v>
      </c>
      <c r="AO5">
        <v>606.57898926734902</v>
      </c>
      <c r="AP5" t="s">
        <v>158</v>
      </c>
      <c r="AQ5" t="s">
        <v>634</v>
      </c>
    </row>
    <row r="6" spans="1:43" x14ac:dyDescent="0.25">
      <c r="A6" t="s">
        <v>29</v>
      </c>
      <c r="B6">
        <v>8363</v>
      </c>
      <c r="C6">
        <v>347</v>
      </c>
      <c r="D6">
        <f>Opti[[#This Row],[nb contraintes]]*Opti[[#This Row],[domaine max]]*Opti[[#This Row],[domaine max]]</f>
        <v>1006980467</v>
      </c>
      <c r="E6">
        <v>30</v>
      </c>
      <c r="F6">
        <v>26</v>
      </c>
      <c r="G6">
        <v>32</v>
      </c>
      <c r="H6" t="b">
        <v>0</v>
      </c>
      <c r="I6">
        <v>1004.87040710449</v>
      </c>
      <c r="J6">
        <v>2</v>
      </c>
      <c r="K6" t="s">
        <v>223</v>
      </c>
      <c r="L6">
        <v>600.24803709983803</v>
      </c>
      <c r="M6" t="s">
        <v>126</v>
      </c>
      <c r="N6">
        <v>32</v>
      </c>
      <c r="O6" t="b">
        <v>0</v>
      </c>
      <c r="P6">
        <v>1024.6774404048899</v>
      </c>
      <c r="Q6">
        <v>2</v>
      </c>
      <c r="R6" t="s">
        <v>224</v>
      </c>
      <c r="S6">
        <v>600.00243091583195</v>
      </c>
      <c r="T6" t="s">
        <v>126</v>
      </c>
      <c r="U6">
        <v>30</v>
      </c>
      <c r="V6" t="b">
        <v>0</v>
      </c>
      <c r="W6">
        <v>1191.0833458900399</v>
      </c>
      <c r="X6">
        <v>2</v>
      </c>
      <c r="Y6" t="s">
        <v>225</v>
      </c>
      <c r="Z6">
        <v>600.00302171707096</v>
      </c>
      <c r="AA6" t="s">
        <v>158</v>
      </c>
      <c r="AB6">
        <v>0</v>
      </c>
      <c r="AC6" t="b">
        <v>0</v>
      </c>
      <c r="AD6">
        <v>1433.0985105037601</v>
      </c>
      <c r="AE6">
        <v>2</v>
      </c>
      <c r="AF6" t="s">
        <v>454</v>
      </c>
      <c r="AG6">
        <v>635.42285990715004</v>
      </c>
      <c r="AH6" t="s">
        <v>158</v>
      </c>
      <c r="AI6" t="s">
        <v>402</v>
      </c>
      <c r="AJ6">
        <v>0</v>
      </c>
      <c r="AK6" t="b">
        <f>IF(Opti[[#This Row],[FC_AC_30_sans_clique_Solution]]&gt;0,TRUE,FALSE)</f>
        <v>0</v>
      </c>
      <c r="AL6">
        <v>1466.5700223445799</v>
      </c>
      <c r="AM6">
        <v>2</v>
      </c>
      <c r="AN6" t="s">
        <v>632</v>
      </c>
      <c r="AO6">
        <v>625.56619191169705</v>
      </c>
      <c r="AP6" t="s">
        <v>158</v>
      </c>
      <c r="AQ6" t="s">
        <v>635</v>
      </c>
    </row>
    <row r="7" spans="1:43" x14ac:dyDescent="0.25">
      <c r="A7" t="s">
        <v>70</v>
      </c>
      <c r="B7">
        <v>10708</v>
      </c>
      <c r="C7">
        <v>253</v>
      </c>
      <c r="D7">
        <f>Opti[[#This Row],[nb contraintes]]*Opti[[#This Row],[domaine max]]*Opti[[#This Row],[domaine max]]</f>
        <v>685408372</v>
      </c>
      <c r="E7">
        <v>65</v>
      </c>
      <c r="F7">
        <v>44</v>
      </c>
      <c r="G7">
        <v>65</v>
      </c>
      <c r="H7" t="b">
        <v>0</v>
      </c>
      <c r="I7">
        <v>836.15085029602005</v>
      </c>
      <c r="J7">
        <v>2</v>
      </c>
      <c r="K7" t="s">
        <v>217</v>
      </c>
      <c r="L7">
        <v>644.87157058715798</v>
      </c>
      <c r="M7" t="s">
        <v>124</v>
      </c>
      <c r="N7">
        <v>65</v>
      </c>
      <c r="O7" t="b">
        <v>0</v>
      </c>
      <c r="P7">
        <v>830.67090463638306</v>
      </c>
      <c r="Q7">
        <v>2</v>
      </c>
      <c r="R7" t="s">
        <v>218</v>
      </c>
      <c r="S7">
        <v>600.290383338928</v>
      </c>
      <c r="T7" t="s">
        <v>124</v>
      </c>
      <c r="U7">
        <v>65</v>
      </c>
      <c r="V7" t="b">
        <v>0</v>
      </c>
      <c r="W7">
        <v>864.303785324096</v>
      </c>
      <c r="X7">
        <v>2</v>
      </c>
      <c r="Y7" t="s">
        <v>219</v>
      </c>
      <c r="Z7">
        <v>600.00917315483002</v>
      </c>
      <c r="AA7" t="s">
        <v>124</v>
      </c>
      <c r="AB7">
        <v>0</v>
      </c>
      <c r="AC7" t="b">
        <v>0</v>
      </c>
      <c r="AD7">
        <v>1139.32829999923</v>
      </c>
      <c r="AE7">
        <v>2</v>
      </c>
      <c r="AF7" t="s">
        <v>452</v>
      </c>
      <c r="AG7">
        <v>600.01352572441101</v>
      </c>
      <c r="AH7" t="s">
        <v>124</v>
      </c>
      <c r="AI7" t="s">
        <v>400</v>
      </c>
      <c r="AJ7">
        <v>0</v>
      </c>
      <c r="AK7" t="b">
        <f>IF(Opti[[#This Row],[FC_AC_30_sans_clique_Solution]]&gt;0,TRUE,FALSE)</f>
        <v>0</v>
      </c>
      <c r="AL7">
        <v>1227.8781778812399</v>
      </c>
      <c r="AM7">
        <v>2</v>
      </c>
      <c r="AN7" t="s">
        <v>630</v>
      </c>
      <c r="AO7">
        <v>635.19629073143005</v>
      </c>
      <c r="AP7" t="s">
        <v>124</v>
      </c>
      <c r="AQ7" t="s">
        <v>633</v>
      </c>
    </row>
    <row r="8" spans="1:43" x14ac:dyDescent="0.25">
      <c r="A8" t="s">
        <v>24</v>
      </c>
      <c r="B8">
        <v>1210</v>
      </c>
      <c r="C8">
        <v>27</v>
      </c>
      <c r="D8">
        <f>Opti[[#This Row],[nb contraintes]]*Opti[[#This Row],[domaine max]]*Opti[[#This Row],[domaine max]]</f>
        <v>882090</v>
      </c>
      <c r="E8" t="s">
        <v>16</v>
      </c>
      <c r="F8">
        <v>4</v>
      </c>
      <c r="G8">
        <v>7</v>
      </c>
      <c r="H8" t="b">
        <v>0</v>
      </c>
      <c r="I8">
        <v>603.436458349227</v>
      </c>
      <c r="J8">
        <v>3</v>
      </c>
      <c r="K8" t="s">
        <v>205</v>
      </c>
      <c r="L8">
        <v>600.07521581649701</v>
      </c>
      <c r="M8" t="s">
        <v>120</v>
      </c>
      <c r="N8">
        <v>7</v>
      </c>
      <c r="O8" t="b">
        <v>0</v>
      </c>
      <c r="P8">
        <v>603.20886945724396</v>
      </c>
      <c r="Q8">
        <v>3</v>
      </c>
      <c r="R8" t="s">
        <v>206</v>
      </c>
      <c r="S8">
        <v>600.00058674812306</v>
      </c>
      <c r="T8" t="s">
        <v>120</v>
      </c>
      <c r="U8">
        <v>7</v>
      </c>
      <c r="V8" t="b">
        <v>0</v>
      </c>
      <c r="W8">
        <v>603.49942994117703</v>
      </c>
      <c r="X8">
        <v>3</v>
      </c>
      <c r="Y8" t="s">
        <v>207</v>
      </c>
      <c r="Z8">
        <v>600.00122094154301</v>
      </c>
      <c r="AA8" t="s">
        <v>120</v>
      </c>
      <c r="AB8">
        <v>0</v>
      </c>
      <c r="AC8" t="b">
        <v>0</v>
      </c>
      <c r="AD8">
        <v>603.75433802604596</v>
      </c>
      <c r="AE8">
        <v>3</v>
      </c>
      <c r="AF8" t="s">
        <v>449</v>
      </c>
      <c r="AG8">
        <v>600.00066709518399</v>
      </c>
      <c r="AH8" t="s">
        <v>120</v>
      </c>
      <c r="AI8" t="s">
        <v>397</v>
      </c>
      <c r="AJ8">
        <v>0</v>
      </c>
      <c r="AK8" t="b">
        <f>IF(Opti[[#This Row],[FC_AC_30_sans_clique_Solution]]&gt;0,TRUE,FALSE)</f>
        <v>0</v>
      </c>
      <c r="AL8">
        <v>1155.2375626564001</v>
      </c>
      <c r="AM8">
        <v>3</v>
      </c>
      <c r="AN8" t="s">
        <v>624</v>
      </c>
      <c r="AO8">
        <v>600.00090980529706</v>
      </c>
      <c r="AP8" t="s">
        <v>116</v>
      </c>
      <c r="AQ8" t="s">
        <v>625</v>
      </c>
    </row>
    <row r="9" spans="1:43" x14ac:dyDescent="0.25">
      <c r="A9" t="s">
        <v>57</v>
      </c>
      <c r="B9">
        <v>3850</v>
      </c>
      <c r="C9">
        <v>41</v>
      </c>
      <c r="D9">
        <f>Opti[[#This Row],[nb contraintes]]*Opti[[#This Row],[domaine max]]*Opti[[#This Row],[domaine max]]</f>
        <v>6471850</v>
      </c>
      <c r="E9">
        <v>11</v>
      </c>
      <c r="F9">
        <v>11</v>
      </c>
      <c r="G9">
        <v>13</v>
      </c>
      <c r="H9" t="b">
        <v>0</v>
      </c>
      <c r="I9">
        <v>680.53874778747502</v>
      </c>
      <c r="J9">
        <v>5</v>
      </c>
      <c r="K9" t="s">
        <v>311</v>
      </c>
      <c r="L9">
        <v>600.19302248954705</v>
      </c>
      <c r="M9" t="s">
        <v>148</v>
      </c>
      <c r="N9">
        <v>14</v>
      </c>
      <c r="O9" t="b">
        <v>0</v>
      </c>
      <c r="P9">
        <v>608.43885183334305</v>
      </c>
      <c r="Q9">
        <v>4</v>
      </c>
      <c r="R9" t="s">
        <v>312</v>
      </c>
      <c r="S9">
        <v>600.00077986717201</v>
      </c>
      <c r="T9" t="s">
        <v>163</v>
      </c>
      <c r="U9">
        <v>14</v>
      </c>
      <c r="V9" t="b">
        <v>0</v>
      </c>
      <c r="W9">
        <v>611.559902191162</v>
      </c>
      <c r="X9">
        <v>4</v>
      </c>
      <c r="Y9" t="s">
        <v>313</v>
      </c>
      <c r="Z9">
        <v>600.00130677223206</v>
      </c>
      <c r="AA9" t="s">
        <v>163</v>
      </c>
      <c r="AB9">
        <v>0</v>
      </c>
      <c r="AC9" t="b">
        <v>0</v>
      </c>
      <c r="AD9">
        <v>925.48119425773598</v>
      </c>
      <c r="AE9">
        <v>5</v>
      </c>
      <c r="AF9" t="s">
        <v>482</v>
      </c>
      <c r="AG9">
        <v>600.001451492309</v>
      </c>
      <c r="AH9" t="s">
        <v>148</v>
      </c>
      <c r="AI9" t="s">
        <v>428</v>
      </c>
      <c r="AJ9">
        <v>0</v>
      </c>
      <c r="AK9" t="b">
        <f>IF(Opti[[#This Row],[FC_AC_30_sans_clique_Solution]]&gt;0,TRUE,FALSE)</f>
        <v>0</v>
      </c>
      <c r="AL9">
        <v>862.35476970672596</v>
      </c>
      <c r="AM9">
        <v>5</v>
      </c>
      <c r="AN9" t="s">
        <v>585</v>
      </c>
      <c r="AO9">
        <v>600.00079822540204</v>
      </c>
      <c r="AP9" t="s">
        <v>148</v>
      </c>
      <c r="AQ9" t="s">
        <v>541</v>
      </c>
    </row>
    <row r="10" spans="1:43" x14ac:dyDescent="0.25">
      <c r="A10" t="s">
        <v>25</v>
      </c>
      <c r="B10">
        <v>876</v>
      </c>
      <c r="C10">
        <v>39</v>
      </c>
      <c r="D10">
        <f>Opti[[#This Row],[nb contraintes]]*Opti[[#This Row],[domaine max]]*Opti[[#This Row],[domaine max]]</f>
        <v>1332396</v>
      </c>
      <c r="E10" t="s">
        <v>16</v>
      </c>
      <c r="F10">
        <v>7</v>
      </c>
      <c r="G10">
        <v>11</v>
      </c>
      <c r="H10" t="b">
        <v>0</v>
      </c>
      <c r="I10">
        <v>744.74345231056202</v>
      </c>
      <c r="J10">
        <v>5</v>
      </c>
      <c r="K10" t="s">
        <v>208</v>
      </c>
      <c r="L10">
        <v>600.02403354644696</v>
      </c>
      <c r="M10" t="s">
        <v>121</v>
      </c>
      <c r="N10">
        <v>11</v>
      </c>
      <c r="O10" t="b">
        <v>0</v>
      </c>
      <c r="P10">
        <v>826.19354176521301</v>
      </c>
      <c r="Q10">
        <v>5</v>
      </c>
      <c r="R10" t="s">
        <v>209</v>
      </c>
      <c r="S10">
        <v>600.00082445144596</v>
      </c>
      <c r="T10" t="s">
        <v>121</v>
      </c>
      <c r="U10">
        <v>12</v>
      </c>
      <c r="V10" t="b">
        <v>0</v>
      </c>
      <c r="W10">
        <v>603.78336572647095</v>
      </c>
      <c r="X10">
        <v>4</v>
      </c>
      <c r="Y10" t="s">
        <v>210</v>
      </c>
      <c r="Z10">
        <v>600.00405144691399</v>
      </c>
      <c r="AA10" t="s">
        <v>122</v>
      </c>
      <c r="AB10">
        <v>0</v>
      </c>
      <c r="AC10" t="b">
        <v>0</v>
      </c>
      <c r="AD10">
        <v>602.87415790557804</v>
      </c>
      <c r="AE10">
        <v>4</v>
      </c>
      <c r="AF10" t="s">
        <v>450</v>
      </c>
      <c r="AG10">
        <v>600.00045371055603</v>
      </c>
      <c r="AH10" t="s">
        <v>122</v>
      </c>
      <c r="AI10" t="s">
        <v>398</v>
      </c>
      <c r="AJ10">
        <v>0</v>
      </c>
      <c r="AK10" t="b">
        <f>IF(Opti[[#This Row],[FC_AC_30_sans_clique_Solution]]&gt;0,TRUE,FALSE)</f>
        <v>0</v>
      </c>
      <c r="AL10">
        <v>708.33091402053799</v>
      </c>
      <c r="AM10">
        <v>4</v>
      </c>
      <c r="AN10" t="s">
        <v>626</v>
      </c>
      <c r="AO10">
        <v>600.00097632408097</v>
      </c>
      <c r="AP10" t="s">
        <v>134</v>
      </c>
      <c r="AQ10" t="s">
        <v>627</v>
      </c>
    </row>
    <row r="11" spans="1:43" x14ac:dyDescent="0.25">
      <c r="A11" t="s">
        <v>34</v>
      </c>
      <c r="B11">
        <v>8063</v>
      </c>
      <c r="C11">
        <v>100</v>
      </c>
      <c r="D11">
        <f>Opti[[#This Row],[nb contraintes]]*Opti[[#This Row],[domaine max]]*Opti[[#This Row],[domaine max]]</f>
        <v>80630000</v>
      </c>
      <c r="E11">
        <v>15</v>
      </c>
      <c r="F11">
        <v>15</v>
      </c>
      <c r="G11">
        <v>16</v>
      </c>
      <c r="H11" t="b">
        <v>0</v>
      </c>
      <c r="I11">
        <v>1080.81753230094</v>
      </c>
      <c r="J11">
        <v>3</v>
      </c>
      <c r="K11" t="s">
        <v>238</v>
      </c>
      <c r="L11">
        <v>600.79695272445599</v>
      </c>
      <c r="M11" t="s">
        <v>130</v>
      </c>
      <c r="N11">
        <v>16</v>
      </c>
      <c r="O11" t="b">
        <v>0</v>
      </c>
      <c r="P11">
        <v>748.57755064964294</v>
      </c>
      <c r="Q11">
        <v>3</v>
      </c>
      <c r="R11" t="s">
        <v>239</v>
      </c>
      <c r="S11">
        <v>600.00499057769696</v>
      </c>
      <c r="T11" t="s">
        <v>130</v>
      </c>
      <c r="U11">
        <v>16</v>
      </c>
      <c r="V11" t="b">
        <v>0</v>
      </c>
      <c r="W11">
        <v>667.10752081870999</v>
      </c>
      <c r="X11">
        <v>2</v>
      </c>
      <c r="Y11" t="s">
        <v>240</v>
      </c>
      <c r="Z11">
        <v>600.00360202789295</v>
      </c>
      <c r="AA11" t="s">
        <v>174</v>
      </c>
      <c r="AB11">
        <v>0</v>
      </c>
      <c r="AC11" t="b">
        <v>0</v>
      </c>
      <c r="AD11">
        <v>665.23816704750004</v>
      </c>
      <c r="AE11">
        <v>2</v>
      </c>
      <c r="AF11" t="s">
        <v>459</v>
      </c>
      <c r="AG11">
        <v>600.00340938568104</v>
      </c>
      <c r="AH11" t="s">
        <v>174</v>
      </c>
      <c r="AI11" t="s">
        <v>407</v>
      </c>
      <c r="AJ11">
        <v>0</v>
      </c>
      <c r="AK11" t="b">
        <f>IF(Opti[[#This Row],[FC_AC_30_sans_clique_Solution]]&gt;0,TRUE,FALSE)</f>
        <v>0</v>
      </c>
      <c r="AL11">
        <v>665.77073907852105</v>
      </c>
      <c r="AM11">
        <v>3</v>
      </c>
      <c r="AN11" t="s">
        <v>561</v>
      </c>
      <c r="AO11">
        <v>600.00372672080903</v>
      </c>
      <c r="AP11" t="s">
        <v>130</v>
      </c>
      <c r="AQ11" t="s">
        <v>525</v>
      </c>
    </row>
    <row r="12" spans="1:43" x14ac:dyDescent="0.25">
      <c r="A12" t="s">
        <v>41</v>
      </c>
      <c r="B12">
        <v>6364</v>
      </c>
      <c r="C12">
        <v>107</v>
      </c>
      <c r="D12">
        <f>Opti[[#This Row],[nb contraintes]]*Opti[[#This Row],[domaine max]]*Opti[[#This Row],[domaine max]]</f>
        <v>72861436</v>
      </c>
      <c r="E12">
        <v>73</v>
      </c>
      <c r="F12">
        <v>64</v>
      </c>
      <c r="G12">
        <v>73</v>
      </c>
      <c r="H12" t="b">
        <v>0</v>
      </c>
      <c r="I12">
        <v>624.27041363716103</v>
      </c>
      <c r="J12">
        <v>2</v>
      </c>
      <c r="K12" t="s">
        <v>265</v>
      </c>
      <c r="L12">
        <v>600.67033243179299</v>
      </c>
      <c r="M12" t="s">
        <v>136</v>
      </c>
      <c r="N12">
        <v>73</v>
      </c>
      <c r="O12" t="b">
        <v>0</v>
      </c>
      <c r="P12">
        <v>621.42853665351799</v>
      </c>
      <c r="Q12">
        <v>2</v>
      </c>
      <c r="R12" t="s">
        <v>266</v>
      </c>
      <c r="S12">
        <v>600.00077772140503</v>
      </c>
      <c r="T12" t="s">
        <v>136</v>
      </c>
      <c r="U12">
        <v>73</v>
      </c>
      <c r="V12" t="b">
        <v>0</v>
      </c>
      <c r="W12">
        <v>632.26228499412503</v>
      </c>
      <c r="X12">
        <v>2</v>
      </c>
      <c r="Y12" t="s">
        <v>267</v>
      </c>
      <c r="Z12">
        <v>600.02833485603298</v>
      </c>
      <c r="AA12" t="s">
        <v>136</v>
      </c>
      <c r="AB12">
        <v>73</v>
      </c>
      <c r="AC12" t="b">
        <v>1</v>
      </c>
      <c r="AD12">
        <v>86.155443429946899</v>
      </c>
      <c r="AE12">
        <v>2</v>
      </c>
      <c r="AF12" t="s">
        <v>468</v>
      </c>
      <c r="AG12">
        <v>51.528680324554401</v>
      </c>
      <c r="AH12" t="s">
        <v>136</v>
      </c>
      <c r="AI12" t="s">
        <v>124</v>
      </c>
      <c r="AJ12">
        <v>0</v>
      </c>
      <c r="AK12" t="b">
        <f>IF(Opti[[#This Row],[FC_AC_30_sans_clique_Solution]]&gt;0,TRUE,FALSE)</f>
        <v>0</v>
      </c>
      <c r="AL12">
        <v>664.69202971458401</v>
      </c>
      <c r="AM12">
        <v>2</v>
      </c>
      <c r="AN12" t="s">
        <v>570</v>
      </c>
      <c r="AO12">
        <v>600.03853416442803</v>
      </c>
      <c r="AP12" t="s">
        <v>136</v>
      </c>
      <c r="AQ12" t="s">
        <v>389</v>
      </c>
    </row>
    <row r="13" spans="1:43" x14ac:dyDescent="0.25">
      <c r="A13" t="s">
        <v>58</v>
      </c>
      <c r="B13">
        <v>5060</v>
      </c>
      <c r="C13">
        <v>44</v>
      </c>
      <c r="D13">
        <f>Opti[[#This Row],[nb contraintes]]*Opti[[#This Row],[domaine max]]*Opti[[#This Row],[domaine max]]</f>
        <v>9796160</v>
      </c>
      <c r="E13" t="s">
        <v>16</v>
      </c>
      <c r="F13">
        <v>12</v>
      </c>
      <c r="G13">
        <v>15</v>
      </c>
      <c r="H13" t="b">
        <v>0</v>
      </c>
      <c r="I13">
        <v>611.97231912612904</v>
      </c>
      <c r="J13">
        <v>5</v>
      </c>
      <c r="K13" t="s">
        <v>314</v>
      </c>
      <c r="L13">
        <v>600.37310695648102</v>
      </c>
      <c r="M13" t="s">
        <v>117</v>
      </c>
      <c r="N13">
        <v>15</v>
      </c>
      <c r="O13" t="b">
        <v>0</v>
      </c>
      <c r="P13">
        <v>662.64879608154297</v>
      </c>
      <c r="Q13">
        <v>5</v>
      </c>
      <c r="R13" t="s">
        <v>315</v>
      </c>
      <c r="S13">
        <v>600.00085353851296</v>
      </c>
      <c r="T13" t="s">
        <v>117</v>
      </c>
      <c r="U13">
        <v>15</v>
      </c>
      <c r="V13" t="b">
        <v>0</v>
      </c>
      <c r="W13">
        <v>719.27359914779595</v>
      </c>
      <c r="X13">
        <v>4</v>
      </c>
      <c r="Y13" t="s">
        <v>316</v>
      </c>
      <c r="Z13">
        <v>600.00342059135403</v>
      </c>
      <c r="AA13" t="s">
        <v>169</v>
      </c>
      <c r="AB13">
        <v>0</v>
      </c>
      <c r="AC13" t="b">
        <v>0</v>
      </c>
      <c r="AD13">
        <v>667.19735741615295</v>
      </c>
      <c r="AE13">
        <v>4</v>
      </c>
      <c r="AF13" t="s">
        <v>483</v>
      </c>
      <c r="AG13">
        <v>600.00086259841896</v>
      </c>
      <c r="AH13" t="s">
        <v>169</v>
      </c>
      <c r="AI13" t="s">
        <v>429</v>
      </c>
      <c r="AJ13">
        <v>0</v>
      </c>
      <c r="AK13" t="b">
        <f>IF(Opti[[#This Row],[FC_AC_30_sans_clique_Solution]]&gt;0,TRUE,FALSE)</f>
        <v>0</v>
      </c>
      <c r="AL13">
        <v>657.03851532936096</v>
      </c>
      <c r="AM13">
        <v>4</v>
      </c>
      <c r="AN13" t="s">
        <v>586</v>
      </c>
      <c r="AO13">
        <v>600.00076103210404</v>
      </c>
      <c r="AP13" t="s">
        <v>169</v>
      </c>
      <c r="AQ13" t="s">
        <v>542</v>
      </c>
    </row>
    <row r="14" spans="1:43" x14ac:dyDescent="0.25">
      <c r="A14" t="s">
        <v>36</v>
      </c>
      <c r="B14">
        <v>7984</v>
      </c>
      <c r="C14">
        <v>129</v>
      </c>
      <c r="D14">
        <f>Opti[[#This Row],[nb contraintes]]*Opti[[#This Row],[domaine max]]*Opti[[#This Row],[domaine max]]</f>
        <v>132861744</v>
      </c>
      <c r="E14">
        <v>25</v>
      </c>
      <c r="F14">
        <v>24</v>
      </c>
      <c r="G14">
        <v>25</v>
      </c>
      <c r="H14" t="b">
        <v>0</v>
      </c>
      <c r="I14">
        <v>675.55255055427494</v>
      </c>
      <c r="J14">
        <v>2</v>
      </c>
      <c r="K14" t="s">
        <v>244</v>
      </c>
      <c r="L14">
        <v>601.82484602928105</v>
      </c>
      <c r="M14" t="s">
        <v>131</v>
      </c>
      <c r="N14">
        <v>25</v>
      </c>
      <c r="O14" t="b">
        <v>0</v>
      </c>
      <c r="P14">
        <v>667.99399805068902</v>
      </c>
      <c r="Q14">
        <v>2</v>
      </c>
      <c r="R14" t="s">
        <v>245</v>
      </c>
      <c r="S14">
        <v>600.06738114356995</v>
      </c>
      <c r="T14" t="s">
        <v>131</v>
      </c>
      <c r="U14">
        <v>25</v>
      </c>
      <c r="V14" t="b">
        <v>1</v>
      </c>
      <c r="W14">
        <v>93.123447418212805</v>
      </c>
      <c r="X14">
        <v>2</v>
      </c>
      <c r="Y14" t="s">
        <v>246</v>
      </c>
      <c r="Z14">
        <v>0.42369389533996499</v>
      </c>
      <c r="AA14" t="s">
        <v>131</v>
      </c>
      <c r="AB14">
        <v>25</v>
      </c>
      <c r="AC14" t="b">
        <v>1</v>
      </c>
      <c r="AD14">
        <v>85.010133504867497</v>
      </c>
      <c r="AE14">
        <v>2</v>
      </c>
      <c r="AF14" t="s">
        <v>461</v>
      </c>
      <c r="AG14">
        <v>0.47700047492980902</v>
      </c>
      <c r="AH14" t="s">
        <v>131</v>
      </c>
      <c r="AI14" t="s">
        <v>408</v>
      </c>
      <c r="AJ14">
        <v>0</v>
      </c>
      <c r="AK14" t="b">
        <f>IF(Opti[[#This Row],[FC_AC_30_sans_clique_Solution]]&gt;0,TRUE,FALSE)</f>
        <v>0</v>
      </c>
      <c r="AL14">
        <v>655.53433251380898</v>
      </c>
      <c r="AM14">
        <v>2</v>
      </c>
      <c r="AN14" t="s">
        <v>563</v>
      </c>
      <c r="AO14">
        <v>600.00242304801895</v>
      </c>
      <c r="AP14" t="s">
        <v>131</v>
      </c>
      <c r="AQ14" t="s">
        <v>526</v>
      </c>
    </row>
    <row r="15" spans="1:43" x14ac:dyDescent="0.25">
      <c r="A15" t="s">
        <v>72</v>
      </c>
      <c r="B15">
        <v>9747</v>
      </c>
      <c r="C15">
        <v>69</v>
      </c>
      <c r="D15">
        <f>Opti[[#This Row],[nb contraintes]]*Opti[[#This Row],[domaine max]]*Opti[[#This Row],[domaine max]]</f>
        <v>46405467</v>
      </c>
      <c r="E15">
        <v>5</v>
      </c>
      <c r="F15">
        <v>5</v>
      </c>
      <c r="G15">
        <v>11</v>
      </c>
      <c r="H15" t="b">
        <v>0</v>
      </c>
      <c r="I15">
        <v>1168.21879053115</v>
      </c>
      <c r="J15">
        <v>4</v>
      </c>
      <c r="K15" t="s">
        <v>259</v>
      </c>
      <c r="L15">
        <v>600.70428371429398</v>
      </c>
      <c r="M15" t="s">
        <v>134</v>
      </c>
      <c r="N15">
        <v>12</v>
      </c>
      <c r="O15" t="b">
        <v>0</v>
      </c>
      <c r="P15">
        <v>661.08198380470196</v>
      </c>
      <c r="Q15">
        <v>3</v>
      </c>
      <c r="R15" t="s">
        <v>260</v>
      </c>
      <c r="S15">
        <v>600.036569595336</v>
      </c>
      <c r="T15" t="s">
        <v>162</v>
      </c>
      <c r="U15">
        <v>5</v>
      </c>
      <c r="V15" t="b">
        <v>1</v>
      </c>
      <c r="W15">
        <v>270.96568799018797</v>
      </c>
      <c r="X15">
        <v>6</v>
      </c>
      <c r="Y15" t="s">
        <v>261</v>
      </c>
      <c r="Z15">
        <v>0.44627714157104398</v>
      </c>
      <c r="AA15" t="s">
        <v>176</v>
      </c>
      <c r="AB15">
        <v>5</v>
      </c>
      <c r="AC15" t="b">
        <v>1</v>
      </c>
      <c r="AD15">
        <v>189.70808362960801</v>
      </c>
      <c r="AE15">
        <v>6</v>
      </c>
      <c r="AF15" t="s">
        <v>466</v>
      </c>
      <c r="AG15">
        <v>0.21412992477416901</v>
      </c>
      <c r="AH15" t="s">
        <v>176</v>
      </c>
      <c r="AI15" t="s">
        <v>414</v>
      </c>
      <c r="AJ15">
        <v>0</v>
      </c>
      <c r="AK15" t="b">
        <f>IF(Opti[[#This Row],[FC_AC_30_sans_clique_Solution]]&gt;0,TRUE,FALSE)</f>
        <v>0</v>
      </c>
      <c r="AL15">
        <v>655.26940011978104</v>
      </c>
      <c r="AM15">
        <v>3</v>
      </c>
      <c r="AN15" t="s">
        <v>568</v>
      </c>
      <c r="AO15">
        <v>600.054042816162</v>
      </c>
      <c r="AP15" t="s">
        <v>133</v>
      </c>
      <c r="AQ15" t="s">
        <v>529</v>
      </c>
    </row>
    <row r="16" spans="1:43" x14ac:dyDescent="0.25">
      <c r="A16" t="s">
        <v>23</v>
      </c>
      <c r="B16">
        <v>6555</v>
      </c>
      <c r="C16">
        <v>121</v>
      </c>
      <c r="D16">
        <f>Opti[[#This Row],[nb contraintes]]*Opti[[#This Row],[domaine max]]*Opti[[#This Row],[domaine max]]</f>
        <v>95971755</v>
      </c>
      <c r="E16" t="s">
        <v>16</v>
      </c>
      <c r="F16">
        <v>29</v>
      </c>
      <c r="G16">
        <v>52</v>
      </c>
      <c r="H16" t="b">
        <v>0</v>
      </c>
      <c r="I16">
        <v>1054.1786506175899</v>
      </c>
      <c r="J16">
        <v>8</v>
      </c>
      <c r="K16" t="s">
        <v>202</v>
      </c>
      <c r="L16">
        <v>604.158576726913</v>
      </c>
      <c r="M16" t="s">
        <v>119</v>
      </c>
      <c r="N16">
        <v>58</v>
      </c>
      <c r="O16" t="b">
        <v>0</v>
      </c>
      <c r="P16">
        <v>628.76625776290803</v>
      </c>
      <c r="Q16">
        <v>2</v>
      </c>
      <c r="R16" t="s">
        <v>203</v>
      </c>
      <c r="S16">
        <v>600.00144743919304</v>
      </c>
      <c r="T16" t="s">
        <v>159</v>
      </c>
      <c r="U16">
        <v>52</v>
      </c>
      <c r="V16" t="b">
        <v>0</v>
      </c>
      <c r="W16">
        <v>681.60247182846001</v>
      </c>
      <c r="X16">
        <v>4</v>
      </c>
      <c r="Y16" t="s">
        <v>204</v>
      </c>
      <c r="Z16">
        <v>600.00054216384797</v>
      </c>
      <c r="AA16" t="s">
        <v>171</v>
      </c>
      <c r="AB16">
        <v>0</v>
      </c>
      <c r="AC16" t="b">
        <v>0</v>
      </c>
      <c r="AD16">
        <v>902.382728099823</v>
      </c>
      <c r="AE16">
        <v>5</v>
      </c>
      <c r="AF16" t="s">
        <v>448</v>
      </c>
      <c r="AG16">
        <v>600.00095129013005</v>
      </c>
      <c r="AH16" t="s">
        <v>395</v>
      </c>
      <c r="AI16" t="s">
        <v>396</v>
      </c>
      <c r="AJ16">
        <v>0</v>
      </c>
      <c r="AK16" t="b">
        <f>IF(Opti[[#This Row],[FC_AC_30_sans_clique_Solution]]&gt;0,TRUE,FALSE)</f>
        <v>0</v>
      </c>
      <c r="AL16">
        <v>646.73691082000698</v>
      </c>
      <c r="AM16">
        <v>3</v>
      </c>
      <c r="AN16" t="s">
        <v>621</v>
      </c>
      <c r="AO16">
        <v>600.00128316879204</v>
      </c>
      <c r="AP16" t="s">
        <v>622</v>
      </c>
      <c r="AQ16" t="s">
        <v>623</v>
      </c>
    </row>
    <row r="17" spans="1:43" x14ac:dyDescent="0.25">
      <c r="A17" t="s">
        <v>73</v>
      </c>
      <c r="B17">
        <v>10150</v>
      </c>
      <c r="C17">
        <v>57</v>
      </c>
      <c r="D17">
        <f>Opti[[#This Row],[nb contraintes]]*Opti[[#This Row],[domaine max]]*Opti[[#This Row],[domaine max]]</f>
        <v>32977350</v>
      </c>
      <c r="E17" t="s">
        <v>16</v>
      </c>
      <c r="F17">
        <v>15</v>
      </c>
      <c r="G17">
        <v>18</v>
      </c>
      <c r="H17" t="b">
        <v>0</v>
      </c>
      <c r="I17">
        <v>767.95548510551396</v>
      </c>
      <c r="J17">
        <v>4</v>
      </c>
      <c r="K17" t="s">
        <v>323</v>
      </c>
      <c r="L17">
        <v>600.98006176948502</v>
      </c>
      <c r="M17" t="s">
        <v>151</v>
      </c>
      <c r="N17">
        <v>19</v>
      </c>
      <c r="O17" t="b">
        <v>0</v>
      </c>
      <c r="P17">
        <v>625.757499933242</v>
      </c>
      <c r="Q17">
        <v>3</v>
      </c>
      <c r="R17" t="s">
        <v>324</v>
      </c>
      <c r="S17">
        <v>600.002852201461</v>
      </c>
      <c r="T17" t="s">
        <v>166</v>
      </c>
      <c r="U17">
        <v>20</v>
      </c>
      <c r="V17" t="b">
        <v>0</v>
      </c>
      <c r="W17">
        <v>649.90800714492798</v>
      </c>
      <c r="X17">
        <v>3</v>
      </c>
      <c r="Y17" t="s">
        <v>325</v>
      </c>
      <c r="Z17">
        <v>600.00235128402699</v>
      </c>
      <c r="AA17" t="s">
        <v>180</v>
      </c>
      <c r="AB17">
        <v>0</v>
      </c>
      <c r="AC17" t="b">
        <v>0</v>
      </c>
      <c r="AD17">
        <v>636.20214819908097</v>
      </c>
      <c r="AE17">
        <v>3</v>
      </c>
      <c r="AF17" t="s">
        <v>486</v>
      </c>
      <c r="AG17">
        <v>600.002541542053</v>
      </c>
      <c r="AH17" t="s">
        <v>180</v>
      </c>
      <c r="AI17" t="s">
        <v>431</v>
      </c>
      <c r="AJ17">
        <v>0</v>
      </c>
      <c r="AK17" t="b">
        <f>IF(Opti[[#This Row],[FC_AC_30_sans_clique_Solution]]&gt;0,TRUE,FALSE)</f>
        <v>0</v>
      </c>
      <c r="AL17">
        <v>645.32282447814896</v>
      </c>
      <c r="AM17">
        <v>4</v>
      </c>
      <c r="AN17" t="s">
        <v>589</v>
      </c>
      <c r="AO17">
        <v>600.00271010398797</v>
      </c>
      <c r="AP17" t="s">
        <v>181</v>
      </c>
      <c r="AQ17" t="s">
        <v>545</v>
      </c>
    </row>
    <row r="18" spans="1:43" x14ac:dyDescent="0.25">
      <c r="A18" t="s">
        <v>37</v>
      </c>
      <c r="B18">
        <v>8010</v>
      </c>
      <c r="C18">
        <v>112</v>
      </c>
      <c r="D18">
        <f>Opti[[#This Row],[nb contraintes]]*Opti[[#This Row],[domaine max]]*Opti[[#This Row],[domaine max]]</f>
        <v>100477440</v>
      </c>
      <c r="E18">
        <v>25</v>
      </c>
      <c r="F18">
        <v>23</v>
      </c>
      <c r="G18">
        <v>25</v>
      </c>
      <c r="H18" t="b">
        <v>0</v>
      </c>
      <c r="I18">
        <v>662.54610657691899</v>
      </c>
      <c r="J18">
        <v>2</v>
      </c>
      <c r="K18" t="s">
        <v>247</v>
      </c>
      <c r="L18">
        <v>601.09294509887695</v>
      </c>
      <c r="M18" t="s">
        <v>131</v>
      </c>
      <c r="N18">
        <v>25</v>
      </c>
      <c r="O18" t="b">
        <v>0</v>
      </c>
      <c r="P18">
        <v>656.50779819488503</v>
      </c>
      <c r="Q18">
        <v>2</v>
      </c>
      <c r="R18" t="s">
        <v>248</v>
      </c>
      <c r="S18">
        <v>600.00185394287098</v>
      </c>
      <c r="T18" t="s">
        <v>131</v>
      </c>
      <c r="U18">
        <v>25</v>
      </c>
      <c r="V18" t="b">
        <v>1</v>
      </c>
      <c r="W18">
        <v>74.867129087448106</v>
      </c>
      <c r="X18">
        <v>2</v>
      </c>
      <c r="Y18" t="s">
        <v>249</v>
      </c>
      <c r="Z18">
        <v>0.450643301010131</v>
      </c>
      <c r="AA18" t="s">
        <v>131</v>
      </c>
      <c r="AB18">
        <v>25</v>
      </c>
      <c r="AC18" t="b">
        <v>1</v>
      </c>
      <c r="AD18">
        <v>71.238962650299001</v>
      </c>
      <c r="AE18">
        <v>2</v>
      </c>
      <c r="AF18" t="s">
        <v>462</v>
      </c>
      <c r="AG18">
        <v>0.51900243759155196</v>
      </c>
      <c r="AH18" t="s">
        <v>131</v>
      </c>
      <c r="AI18" t="s">
        <v>409</v>
      </c>
      <c r="AJ18">
        <v>0</v>
      </c>
      <c r="AK18" t="b">
        <f>IF(Opti[[#This Row],[FC_AC_30_sans_clique_Solution]]&gt;0,TRUE,FALSE)</f>
        <v>0</v>
      </c>
      <c r="AL18">
        <v>643.10537362098603</v>
      </c>
      <c r="AM18">
        <v>2</v>
      </c>
      <c r="AN18" t="s">
        <v>564</v>
      </c>
      <c r="AO18">
        <v>600.00151038169804</v>
      </c>
      <c r="AP18" t="s">
        <v>131</v>
      </c>
      <c r="AQ18" t="s">
        <v>526</v>
      </c>
    </row>
    <row r="19" spans="1:43" x14ac:dyDescent="0.25">
      <c r="A19" t="s">
        <v>49</v>
      </c>
      <c r="B19">
        <v>3538</v>
      </c>
      <c r="C19">
        <v>160</v>
      </c>
      <c r="D19">
        <f>Opti[[#This Row],[nb contraintes]]*Opti[[#This Row],[domaine max]]*Opti[[#This Row],[domaine max]]</f>
        <v>90572800</v>
      </c>
      <c r="E19">
        <v>31</v>
      </c>
      <c r="F19">
        <v>30</v>
      </c>
      <c r="G19">
        <v>31</v>
      </c>
      <c r="H19" t="b">
        <v>0</v>
      </c>
      <c r="I19">
        <v>628.15864920616104</v>
      </c>
      <c r="J19">
        <v>2</v>
      </c>
      <c r="K19" t="s">
        <v>289</v>
      </c>
      <c r="L19">
        <v>604.28568577766396</v>
      </c>
      <c r="M19" t="s">
        <v>141</v>
      </c>
      <c r="N19">
        <v>31</v>
      </c>
      <c r="O19" t="b">
        <v>0</v>
      </c>
      <c r="P19">
        <v>621.58596777915898</v>
      </c>
      <c r="Q19">
        <v>2</v>
      </c>
      <c r="R19" t="s">
        <v>290</v>
      </c>
      <c r="S19">
        <v>600.00173902511597</v>
      </c>
      <c r="T19" t="s">
        <v>141</v>
      </c>
      <c r="U19">
        <v>31</v>
      </c>
      <c r="V19" t="b">
        <v>1</v>
      </c>
      <c r="W19">
        <v>33.971418142318697</v>
      </c>
      <c r="X19">
        <v>2</v>
      </c>
      <c r="Y19" t="s">
        <v>291</v>
      </c>
      <c r="Z19">
        <v>1.7152409553527801</v>
      </c>
      <c r="AA19" t="s">
        <v>141</v>
      </c>
      <c r="AB19">
        <v>31</v>
      </c>
      <c r="AC19" t="b">
        <v>1</v>
      </c>
      <c r="AD19">
        <v>30.287987709045399</v>
      </c>
      <c r="AE19">
        <v>2</v>
      </c>
      <c r="AF19" t="s">
        <v>476</v>
      </c>
      <c r="AG19">
        <v>2.01778221130371</v>
      </c>
      <c r="AH19" t="s">
        <v>141</v>
      </c>
      <c r="AI19" t="s">
        <v>423</v>
      </c>
      <c r="AJ19">
        <v>0</v>
      </c>
      <c r="AK19" t="b">
        <f>IF(Opti[[#This Row],[FC_AC_30_sans_clique_Solution]]&gt;0,TRUE,FALSE)</f>
        <v>0</v>
      </c>
      <c r="AL19">
        <v>637.18484735488801</v>
      </c>
      <c r="AM19">
        <v>2</v>
      </c>
      <c r="AN19" t="s">
        <v>578</v>
      </c>
      <c r="AO19">
        <v>600.00072550773598</v>
      </c>
      <c r="AP19" t="s">
        <v>141</v>
      </c>
      <c r="AQ19" t="s">
        <v>534</v>
      </c>
    </row>
    <row r="20" spans="1:43" x14ac:dyDescent="0.25">
      <c r="A20" t="s">
        <v>48</v>
      </c>
      <c r="B20">
        <v>3511</v>
      </c>
      <c r="C20">
        <v>159</v>
      </c>
      <c r="D20">
        <f>Opti[[#This Row],[nb contraintes]]*Opti[[#This Row],[domaine max]]*Opti[[#This Row],[domaine max]]</f>
        <v>88761591</v>
      </c>
      <c r="E20">
        <v>31</v>
      </c>
      <c r="F20">
        <v>30</v>
      </c>
      <c r="G20">
        <v>31</v>
      </c>
      <c r="H20" t="b">
        <v>0</v>
      </c>
      <c r="I20">
        <v>624.339194774627</v>
      </c>
      <c r="J20">
        <v>2</v>
      </c>
      <c r="K20" t="s">
        <v>286</v>
      </c>
      <c r="L20">
        <v>601.60841202735901</v>
      </c>
      <c r="M20" t="s">
        <v>141</v>
      </c>
      <c r="N20">
        <v>31</v>
      </c>
      <c r="O20" t="b">
        <v>0</v>
      </c>
      <c r="P20">
        <v>622.52796983718804</v>
      </c>
      <c r="Q20">
        <v>2</v>
      </c>
      <c r="R20" t="s">
        <v>287</v>
      </c>
      <c r="S20">
        <v>600.00107645988396</v>
      </c>
      <c r="T20" t="s">
        <v>141</v>
      </c>
      <c r="U20">
        <v>31</v>
      </c>
      <c r="V20" t="b">
        <v>1</v>
      </c>
      <c r="W20">
        <v>32.5335755348205</v>
      </c>
      <c r="X20">
        <v>2</v>
      </c>
      <c r="Y20" t="s">
        <v>288</v>
      </c>
      <c r="Z20">
        <v>1.48881387710571</v>
      </c>
      <c r="AA20" t="s">
        <v>141</v>
      </c>
      <c r="AB20">
        <v>31</v>
      </c>
      <c r="AC20" t="b">
        <v>1</v>
      </c>
      <c r="AD20">
        <v>29.6283936500549</v>
      </c>
      <c r="AE20">
        <v>2</v>
      </c>
      <c r="AF20" t="s">
        <v>475</v>
      </c>
      <c r="AG20">
        <v>1.6706955432891799</v>
      </c>
      <c r="AH20" t="s">
        <v>141</v>
      </c>
      <c r="AI20" t="s">
        <v>422</v>
      </c>
      <c r="AJ20">
        <v>0</v>
      </c>
      <c r="AK20" t="b">
        <f>IF(Opti[[#This Row],[FC_AC_30_sans_clique_Solution]]&gt;0,TRUE,FALSE)</f>
        <v>0</v>
      </c>
      <c r="AL20">
        <v>636.53414082527104</v>
      </c>
      <c r="AM20">
        <v>2</v>
      </c>
      <c r="AN20" t="s">
        <v>577</v>
      </c>
      <c r="AO20">
        <v>600.00104999542202</v>
      </c>
      <c r="AP20" t="s">
        <v>141</v>
      </c>
      <c r="AQ20" t="s">
        <v>533</v>
      </c>
    </row>
    <row r="21" spans="1:43" x14ac:dyDescent="0.25">
      <c r="A21" t="s">
        <v>47</v>
      </c>
      <c r="B21">
        <v>3481</v>
      </c>
      <c r="C21">
        <v>158</v>
      </c>
      <c r="D21">
        <f>Opti[[#This Row],[nb contraintes]]*Opti[[#This Row],[domaine max]]*Opti[[#This Row],[domaine max]]</f>
        <v>86899684</v>
      </c>
      <c r="E21">
        <v>31</v>
      </c>
      <c r="F21">
        <v>30</v>
      </c>
      <c r="G21">
        <v>31</v>
      </c>
      <c r="H21" t="b">
        <v>0</v>
      </c>
      <c r="I21">
        <v>623.76260638237</v>
      </c>
      <c r="J21">
        <v>2</v>
      </c>
      <c r="K21" t="s">
        <v>283</v>
      </c>
      <c r="L21">
        <v>601.60929727554299</v>
      </c>
      <c r="M21" t="s">
        <v>141</v>
      </c>
      <c r="N21">
        <v>31</v>
      </c>
      <c r="O21" t="b">
        <v>0</v>
      </c>
      <c r="P21">
        <v>622.30162763595501</v>
      </c>
      <c r="Q21">
        <v>2</v>
      </c>
      <c r="R21" t="s">
        <v>284</v>
      </c>
      <c r="S21">
        <v>600.00052928924504</v>
      </c>
      <c r="T21" t="s">
        <v>141</v>
      </c>
      <c r="U21">
        <v>31</v>
      </c>
      <c r="V21" t="b">
        <v>1</v>
      </c>
      <c r="W21">
        <v>32.948488712310699</v>
      </c>
      <c r="X21">
        <v>2</v>
      </c>
      <c r="Y21" t="s">
        <v>285</v>
      </c>
      <c r="Z21">
        <v>1.78560447692871</v>
      </c>
      <c r="AA21" t="s">
        <v>141</v>
      </c>
      <c r="AB21">
        <v>31</v>
      </c>
      <c r="AC21" t="b">
        <v>1</v>
      </c>
      <c r="AD21">
        <v>29.107138872146599</v>
      </c>
      <c r="AE21">
        <v>2</v>
      </c>
      <c r="AF21" t="s">
        <v>474</v>
      </c>
      <c r="AG21">
        <v>1.67366647720336</v>
      </c>
      <c r="AH21" t="s">
        <v>141</v>
      </c>
      <c r="AI21" t="s">
        <v>421</v>
      </c>
      <c r="AJ21">
        <v>0</v>
      </c>
      <c r="AK21" t="b">
        <f>IF(Opti[[#This Row],[FC_AC_30_sans_clique_Solution]]&gt;0,TRUE,FALSE)</f>
        <v>0</v>
      </c>
      <c r="AL21">
        <v>635.97427558898903</v>
      </c>
      <c r="AM21">
        <v>2</v>
      </c>
      <c r="AN21" t="s">
        <v>576</v>
      </c>
      <c r="AO21">
        <v>600.00001788139298</v>
      </c>
      <c r="AP21" t="s">
        <v>141</v>
      </c>
      <c r="AQ21" t="s">
        <v>532</v>
      </c>
    </row>
    <row r="22" spans="1:43" x14ac:dyDescent="0.25">
      <c r="A22" t="s">
        <v>46</v>
      </c>
      <c r="B22">
        <v>3450</v>
      </c>
      <c r="C22">
        <v>157</v>
      </c>
      <c r="D22">
        <f>Opti[[#This Row],[nb contraintes]]*Opti[[#This Row],[domaine max]]*Opti[[#This Row],[domaine max]]</f>
        <v>85039050</v>
      </c>
      <c r="E22">
        <v>31</v>
      </c>
      <c r="F22">
        <v>30</v>
      </c>
      <c r="G22">
        <v>31</v>
      </c>
      <c r="H22" t="b">
        <v>0</v>
      </c>
      <c r="I22">
        <v>623.34856915473904</v>
      </c>
      <c r="J22">
        <v>2</v>
      </c>
      <c r="K22" t="s">
        <v>280</v>
      </c>
      <c r="L22">
        <v>601.59243249893098</v>
      </c>
      <c r="M22" t="s">
        <v>141</v>
      </c>
      <c r="N22">
        <v>31</v>
      </c>
      <c r="O22" t="b">
        <v>0</v>
      </c>
      <c r="P22">
        <v>622.37003493308998</v>
      </c>
      <c r="Q22">
        <v>2</v>
      </c>
      <c r="R22" t="s">
        <v>281</v>
      </c>
      <c r="S22">
        <v>600.00081348419099</v>
      </c>
      <c r="T22" t="s">
        <v>141</v>
      </c>
      <c r="U22">
        <v>31</v>
      </c>
      <c r="V22" t="b">
        <v>1</v>
      </c>
      <c r="W22">
        <v>31.861987590789699</v>
      </c>
      <c r="X22">
        <v>2</v>
      </c>
      <c r="Y22" t="s">
        <v>282</v>
      </c>
      <c r="Z22">
        <v>1.42628645896911</v>
      </c>
      <c r="AA22" t="s">
        <v>141</v>
      </c>
      <c r="AB22">
        <v>31</v>
      </c>
      <c r="AC22" t="b">
        <v>1</v>
      </c>
      <c r="AD22">
        <v>29.841336727142298</v>
      </c>
      <c r="AE22">
        <v>2</v>
      </c>
      <c r="AF22" t="s">
        <v>473</v>
      </c>
      <c r="AG22">
        <v>1.88765668869018</v>
      </c>
      <c r="AH22" t="s">
        <v>141</v>
      </c>
      <c r="AI22" t="s">
        <v>420</v>
      </c>
      <c r="AJ22">
        <v>0</v>
      </c>
      <c r="AK22" t="b">
        <f>IF(Opti[[#This Row],[FC_AC_30_sans_clique_Solution]]&gt;0,TRUE,FALSE)</f>
        <v>0</v>
      </c>
      <c r="AL22">
        <v>635.07338881492603</v>
      </c>
      <c r="AM22">
        <v>2</v>
      </c>
      <c r="AN22" t="s">
        <v>575</v>
      </c>
      <c r="AO22">
        <v>600.00112891197205</v>
      </c>
      <c r="AP22" t="s">
        <v>141</v>
      </c>
      <c r="AQ22" t="s">
        <v>531</v>
      </c>
    </row>
    <row r="23" spans="1:43" x14ac:dyDescent="0.25">
      <c r="A23" t="s">
        <v>74</v>
      </c>
      <c r="B23">
        <v>12400</v>
      </c>
      <c r="C23">
        <v>60</v>
      </c>
      <c r="D23">
        <f>Opti[[#This Row],[nb contraintes]]*Opti[[#This Row],[domaine max]]*Opti[[#This Row],[domaine max]]</f>
        <v>44640000</v>
      </c>
      <c r="E23" t="s">
        <v>16</v>
      </c>
      <c r="F23">
        <v>16</v>
      </c>
      <c r="G23">
        <v>19</v>
      </c>
      <c r="H23" t="b">
        <v>0</v>
      </c>
      <c r="I23">
        <v>777.47330403327896</v>
      </c>
      <c r="J23">
        <v>6</v>
      </c>
      <c r="K23" t="s">
        <v>326</v>
      </c>
      <c r="L23">
        <v>600.62064647674504</v>
      </c>
      <c r="M23" t="s">
        <v>152</v>
      </c>
      <c r="N23">
        <v>21</v>
      </c>
      <c r="O23" t="b">
        <v>0</v>
      </c>
      <c r="P23">
        <v>637.00675678253106</v>
      </c>
      <c r="Q23">
        <v>4</v>
      </c>
      <c r="R23" t="s">
        <v>327</v>
      </c>
      <c r="S23">
        <v>600.00343108177105</v>
      </c>
      <c r="T23" t="s">
        <v>167</v>
      </c>
      <c r="U23">
        <v>19</v>
      </c>
      <c r="V23" t="b">
        <v>0</v>
      </c>
      <c r="W23">
        <v>851.36523008346501</v>
      </c>
      <c r="X23">
        <v>4</v>
      </c>
      <c r="Y23" t="s">
        <v>328</v>
      </c>
      <c r="Z23">
        <v>600.00294685363701</v>
      </c>
      <c r="AA23" t="s">
        <v>181</v>
      </c>
      <c r="AB23">
        <v>0</v>
      </c>
      <c r="AC23" t="b">
        <v>0</v>
      </c>
      <c r="AD23">
        <v>731.30580973625104</v>
      </c>
      <c r="AE23">
        <v>4</v>
      </c>
      <c r="AF23" t="s">
        <v>487</v>
      </c>
      <c r="AG23">
        <v>600.00221204757599</v>
      </c>
      <c r="AH23" t="s">
        <v>181</v>
      </c>
      <c r="AI23" t="s">
        <v>432</v>
      </c>
      <c r="AJ23">
        <v>0</v>
      </c>
      <c r="AK23" t="b">
        <f>IF(Opti[[#This Row],[FC_AC_30_sans_clique_Solution]]&gt;0,TRUE,FALSE)</f>
        <v>0</v>
      </c>
      <c r="AL23">
        <v>634.13693523406903</v>
      </c>
      <c r="AM23">
        <v>4</v>
      </c>
      <c r="AN23" t="s">
        <v>590</v>
      </c>
      <c r="AO23">
        <v>600.00348758697498</v>
      </c>
      <c r="AP23" t="s">
        <v>546</v>
      </c>
      <c r="AQ23" t="s">
        <v>547</v>
      </c>
    </row>
    <row r="24" spans="1:43" x14ac:dyDescent="0.25">
      <c r="A24" t="s">
        <v>35</v>
      </c>
      <c r="B24">
        <v>8064</v>
      </c>
      <c r="C24">
        <v>95</v>
      </c>
      <c r="D24">
        <f>Opti[[#This Row],[nb contraintes]]*Opti[[#This Row],[domaine max]]*Opti[[#This Row],[domaine max]]</f>
        <v>72777600</v>
      </c>
      <c r="E24">
        <v>15</v>
      </c>
      <c r="F24">
        <v>15</v>
      </c>
      <c r="G24">
        <v>16</v>
      </c>
      <c r="H24" t="b">
        <v>0</v>
      </c>
      <c r="I24">
        <v>689.16479563713006</v>
      </c>
      <c r="J24">
        <v>3</v>
      </c>
      <c r="K24" t="s">
        <v>241</v>
      </c>
      <c r="L24">
        <v>600.74620985984802</v>
      </c>
      <c r="M24" t="s">
        <v>130</v>
      </c>
      <c r="N24">
        <v>17</v>
      </c>
      <c r="O24" t="b">
        <v>0</v>
      </c>
      <c r="P24">
        <v>654.903282165527</v>
      </c>
      <c r="Q24">
        <v>2</v>
      </c>
      <c r="R24" t="s">
        <v>242</v>
      </c>
      <c r="S24">
        <v>600.00732374191205</v>
      </c>
      <c r="T24" t="s">
        <v>160</v>
      </c>
      <c r="U24">
        <v>17</v>
      </c>
      <c r="V24" t="b">
        <v>0</v>
      </c>
      <c r="W24">
        <v>665.76544904708805</v>
      </c>
      <c r="X24">
        <v>2</v>
      </c>
      <c r="Y24" t="s">
        <v>243</v>
      </c>
      <c r="Z24">
        <v>600.00588393211297</v>
      </c>
      <c r="AA24" t="s">
        <v>160</v>
      </c>
      <c r="AB24">
        <v>0</v>
      </c>
      <c r="AC24" t="b">
        <v>0</v>
      </c>
      <c r="AD24">
        <v>663.40541601180996</v>
      </c>
      <c r="AE24">
        <v>2</v>
      </c>
      <c r="AF24" t="s">
        <v>460</v>
      </c>
      <c r="AG24">
        <v>600.00655198097195</v>
      </c>
      <c r="AH24" t="s">
        <v>160</v>
      </c>
      <c r="AI24" t="s">
        <v>407</v>
      </c>
      <c r="AJ24">
        <v>0</v>
      </c>
      <c r="AK24" t="b">
        <f>IF(Opti[[#This Row],[FC_AC_30_sans_clique_Solution]]&gt;0,TRUE,FALSE)</f>
        <v>0</v>
      </c>
      <c r="AL24">
        <v>630.11779856681801</v>
      </c>
      <c r="AM24">
        <v>2</v>
      </c>
      <c r="AN24" t="s">
        <v>562</v>
      </c>
      <c r="AO24">
        <v>600.00651288032498</v>
      </c>
      <c r="AP24" t="s">
        <v>160</v>
      </c>
      <c r="AQ24" t="s">
        <v>526</v>
      </c>
    </row>
    <row r="25" spans="1:43" x14ac:dyDescent="0.25">
      <c r="A25" t="s">
        <v>68</v>
      </c>
      <c r="B25">
        <v>3163</v>
      </c>
      <c r="C25">
        <v>141</v>
      </c>
      <c r="D25">
        <f>Opti[[#This Row],[nb contraintes]]*Opti[[#This Row],[domaine max]]*Opti[[#This Row],[domaine max]]</f>
        <v>62883603</v>
      </c>
      <c r="E25">
        <v>30</v>
      </c>
      <c r="F25">
        <v>28</v>
      </c>
      <c r="G25">
        <v>30</v>
      </c>
      <c r="H25" t="b">
        <v>0</v>
      </c>
      <c r="I25">
        <v>617.93293547630299</v>
      </c>
      <c r="J25">
        <v>2</v>
      </c>
      <c r="K25" t="s">
        <v>350</v>
      </c>
      <c r="L25">
        <v>602.06866168975796</v>
      </c>
      <c r="M25" t="s">
        <v>158</v>
      </c>
      <c r="N25">
        <v>30</v>
      </c>
      <c r="O25" t="b">
        <v>0</v>
      </c>
      <c r="P25">
        <v>615.334606647491</v>
      </c>
      <c r="Q25">
        <v>2</v>
      </c>
      <c r="R25" t="s">
        <v>351</v>
      </c>
      <c r="S25">
        <v>600.002385377883</v>
      </c>
      <c r="T25" t="s">
        <v>158</v>
      </c>
      <c r="U25">
        <v>30</v>
      </c>
      <c r="V25" t="b">
        <v>1</v>
      </c>
      <c r="W25">
        <v>17.2010290622711</v>
      </c>
      <c r="X25">
        <v>2</v>
      </c>
      <c r="Y25" t="s">
        <v>352</v>
      </c>
      <c r="Z25">
        <v>0.36902928352355902</v>
      </c>
      <c r="AA25" t="s">
        <v>158</v>
      </c>
      <c r="AB25">
        <v>30</v>
      </c>
      <c r="AC25" t="b">
        <v>1</v>
      </c>
      <c r="AD25">
        <v>17.7835307121276</v>
      </c>
      <c r="AE25">
        <v>2</v>
      </c>
      <c r="AF25" t="s">
        <v>495</v>
      </c>
      <c r="AG25">
        <v>0.40496301651000899</v>
      </c>
      <c r="AH25" t="s">
        <v>158</v>
      </c>
      <c r="AI25" t="s">
        <v>440</v>
      </c>
      <c r="AJ25">
        <v>0</v>
      </c>
      <c r="AK25" t="b">
        <f>IF(Opti[[#This Row],[FC_AC_30_sans_clique_Solution]]&gt;0,TRUE,FALSE)</f>
        <v>0</v>
      </c>
      <c r="AL25">
        <v>627.05952978134098</v>
      </c>
      <c r="AM25">
        <v>2</v>
      </c>
      <c r="AN25" t="s">
        <v>598</v>
      </c>
      <c r="AO25">
        <v>600.00162625312805</v>
      </c>
      <c r="AP25" t="s">
        <v>158</v>
      </c>
      <c r="AQ25" t="s">
        <v>554</v>
      </c>
    </row>
    <row r="26" spans="1:43" x14ac:dyDescent="0.25">
      <c r="A26" t="s">
        <v>69</v>
      </c>
      <c r="B26">
        <v>3162</v>
      </c>
      <c r="C26">
        <v>141</v>
      </c>
      <c r="D26">
        <f>Opti[[#This Row],[nb contraintes]]*Opti[[#This Row],[domaine max]]*Opti[[#This Row],[domaine max]]</f>
        <v>62863722</v>
      </c>
      <c r="E26">
        <v>30</v>
      </c>
      <c r="F26">
        <v>28</v>
      </c>
      <c r="G26">
        <v>30</v>
      </c>
      <c r="H26" t="b">
        <v>0</v>
      </c>
      <c r="I26">
        <v>618.97747278213501</v>
      </c>
      <c r="J26">
        <v>2</v>
      </c>
      <c r="K26" t="s">
        <v>353</v>
      </c>
      <c r="L26">
        <v>602.14397764205899</v>
      </c>
      <c r="M26" t="s">
        <v>158</v>
      </c>
      <c r="N26">
        <v>30</v>
      </c>
      <c r="O26" t="b">
        <v>0</v>
      </c>
      <c r="P26">
        <v>614.85197973251297</v>
      </c>
      <c r="Q26">
        <v>2</v>
      </c>
      <c r="R26" t="s">
        <v>354</v>
      </c>
      <c r="S26">
        <v>600.00240349769501</v>
      </c>
      <c r="T26" t="s">
        <v>158</v>
      </c>
      <c r="U26">
        <v>30</v>
      </c>
      <c r="V26" t="b">
        <v>1</v>
      </c>
      <c r="W26">
        <v>17.799833536148</v>
      </c>
      <c r="X26">
        <v>2</v>
      </c>
      <c r="Y26" t="s">
        <v>355</v>
      </c>
      <c r="Z26">
        <v>0.37927961349487299</v>
      </c>
      <c r="AA26" t="s">
        <v>158</v>
      </c>
      <c r="AB26">
        <v>30</v>
      </c>
      <c r="AC26" t="b">
        <v>1</v>
      </c>
      <c r="AD26">
        <v>17.216322183609002</v>
      </c>
      <c r="AE26">
        <v>2</v>
      </c>
      <c r="AF26" t="s">
        <v>496</v>
      </c>
      <c r="AG26">
        <v>0.40696930885314903</v>
      </c>
      <c r="AH26" t="s">
        <v>158</v>
      </c>
      <c r="AI26" t="s">
        <v>441</v>
      </c>
      <c r="AJ26">
        <v>0</v>
      </c>
      <c r="AK26" t="b">
        <f>IF(Opti[[#This Row],[FC_AC_30_sans_clique_Solution]]&gt;0,TRUE,FALSE)</f>
        <v>0</v>
      </c>
      <c r="AL26">
        <v>626.81985020637501</v>
      </c>
      <c r="AM26">
        <v>2</v>
      </c>
      <c r="AN26" t="s">
        <v>599</v>
      </c>
      <c r="AO26">
        <v>600.00115871429398</v>
      </c>
      <c r="AP26" t="s">
        <v>158</v>
      </c>
      <c r="AQ26" t="s">
        <v>555</v>
      </c>
    </row>
    <row r="27" spans="1:43" x14ac:dyDescent="0.25">
      <c r="A27" t="s">
        <v>45</v>
      </c>
      <c r="B27">
        <v>3330</v>
      </c>
      <c r="C27">
        <v>122</v>
      </c>
      <c r="D27">
        <f>Opti[[#This Row],[nb contraintes]]*Opti[[#This Row],[domaine max]]*Opti[[#This Row],[domaine max]]</f>
        <v>49563720</v>
      </c>
      <c r="E27">
        <v>49</v>
      </c>
      <c r="F27">
        <v>35</v>
      </c>
      <c r="G27">
        <v>49</v>
      </c>
      <c r="H27" t="b">
        <v>0</v>
      </c>
      <c r="I27">
        <v>620.26757669448796</v>
      </c>
      <c r="J27">
        <v>2</v>
      </c>
      <c r="K27" t="s">
        <v>277</v>
      </c>
      <c r="L27">
        <v>604.61383175849903</v>
      </c>
      <c r="M27" t="s">
        <v>140</v>
      </c>
      <c r="N27">
        <v>49</v>
      </c>
      <c r="O27" t="b">
        <v>0</v>
      </c>
      <c r="P27">
        <v>614.50932383537202</v>
      </c>
      <c r="Q27">
        <v>2</v>
      </c>
      <c r="R27" t="s">
        <v>278</v>
      </c>
      <c r="S27">
        <v>600.00188612937905</v>
      </c>
      <c r="T27" t="s">
        <v>140</v>
      </c>
      <c r="U27">
        <v>49</v>
      </c>
      <c r="V27" t="b">
        <v>0</v>
      </c>
      <c r="W27">
        <v>621.09374260902405</v>
      </c>
      <c r="X27">
        <v>2</v>
      </c>
      <c r="Y27" t="s">
        <v>279</v>
      </c>
      <c r="Z27">
        <v>600.00883889198303</v>
      </c>
      <c r="AA27" t="s">
        <v>140</v>
      </c>
      <c r="AB27">
        <v>0</v>
      </c>
      <c r="AC27" t="b">
        <v>0</v>
      </c>
      <c r="AD27">
        <v>621.78720235824505</v>
      </c>
      <c r="AE27">
        <v>2</v>
      </c>
      <c r="AF27" t="s">
        <v>472</v>
      </c>
      <c r="AG27">
        <v>600.00030303001404</v>
      </c>
      <c r="AH27" t="s">
        <v>140</v>
      </c>
      <c r="AI27" t="s">
        <v>419</v>
      </c>
      <c r="AJ27">
        <v>0</v>
      </c>
      <c r="AK27" t="b">
        <f>IF(Opti[[#This Row],[FC_AC_30_sans_clique_Solution]]&gt;0,TRUE,FALSE)</f>
        <v>0</v>
      </c>
      <c r="AL27">
        <v>625.12641668319702</v>
      </c>
      <c r="AM27">
        <v>2</v>
      </c>
      <c r="AN27" t="s">
        <v>574</v>
      </c>
      <c r="AO27">
        <v>600.00266170501698</v>
      </c>
      <c r="AP27" t="s">
        <v>140</v>
      </c>
      <c r="AQ27" t="s">
        <v>530</v>
      </c>
    </row>
    <row r="28" spans="1:43" x14ac:dyDescent="0.25">
      <c r="A28" t="s">
        <v>67</v>
      </c>
      <c r="B28">
        <v>3065</v>
      </c>
      <c r="C28">
        <v>112</v>
      </c>
      <c r="D28">
        <f>Opti[[#This Row],[nb contraintes]]*Opti[[#This Row],[domaine max]]*Opti[[#This Row],[domaine max]]</f>
        <v>38447360</v>
      </c>
      <c r="E28">
        <v>49</v>
      </c>
      <c r="F28">
        <v>46</v>
      </c>
      <c r="G28">
        <v>49</v>
      </c>
      <c r="H28" t="b">
        <v>0</v>
      </c>
      <c r="I28">
        <v>611.91629576682999</v>
      </c>
      <c r="J28">
        <v>2</v>
      </c>
      <c r="K28" t="s">
        <v>347</v>
      </c>
      <c r="L28">
        <v>602.10245442390396</v>
      </c>
      <c r="M28" t="s">
        <v>140</v>
      </c>
      <c r="N28">
        <v>49</v>
      </c>
      <c r="O28" t="b">
        <v>0</v>
      </c>
      <c r="P28">
        <v>610.05288147926296</v>
      </c>
      <c r="Q28">
        <v>2</v>
      </c>
      <c r="R28" t="s">
        <v>348</v>
      </c>
      <c r="S28">
        <v>600.00181174278202</v>
      </c>
      <c r="T28" t="s">
        <v>140</v>
      </c>
      <c r="U28">
        <v>49</v>
      </c>
      <c r="V28" t="b">
        <v>1</v>
      </c>
      <c r="W28">
        <v>83.929031610488806</v>
      </c>
      <c r="X28">
        <v>2</v>
      </c>
      <c r="Y28" t="s">
        <v>349</v>
      </c>
      <c r="Z28">
        <v>72.079425334930406</v>
      </c>
      <c r="AA28" t="s">
        <v>140</v>
      </c>
      <c r="AB28">
        <v>49</v>
      </c>
      <c r="AC28" t="b">
        <v>1</v>
      </c>
      <c r="AD28">
        <v>46.963756322860696</v>
      </c>
      <c r="AE28">
        <v>2</v>
      </c>
      <c r="AF28" t="s">
        <v>494</v>
      </c>
      <c r="AG28">
        <v>35.2061574459075</v>
      </c>
      <c r="AH28" t="s">
        <v>140</v>
      </c>
      <c r="AI28" t="s">
        <v>439</v>
      </c>
      <c r="AJ28">
        <v>0</v>
      </c>
      <c r="AK28" t="b">
        <f>IF(Opti[[#This Row],[FC_AC_30_sans_clique_Solution]]&gt;0,TRUE,FALSE)</f>
        <v>0</v>
      </c>
      <c r="AL28">
        <v>623.07749772071804</v>
      </c>
      <c r="AM28">
        <v>2</v>
      </c>
      <c r="AN28" t="s">
        <v>597</v>
      </c>
      <c r="AO28">
        <v>600.00196647643997</v>
      </c>
      <c r="AP28" t="s">
        <v>140</v>
      </c>
      <c r="AQ28" t="s">
        <v>554</v>
      </c>
    </row>
    <row r="29" spans="1:43" x14ac:dyDescent="0.25">
      <c r="A29" t="s">
        <v>40</v>
      </c>
      <c r="B29">
        <v>5242</v>
      </c>
      <c r="C29">
        <v>87</v>
      </c>
      <c r="D29">
        <f>Opti[[#This Row],[nb contraintes]]*Opti[[#This Row],[domaine max]]*Opti[[#This Row],[domaine max]]</f>
        <v>39676698</v>
      </c>
      <c r="E29">
        <v>42</v>
      </c>
      <c r="F29">
        <v>35</v>
      </c>
      <c r="G29">
        <v>44</v>
      </c>
      <c r="H29" t="b">
        <v>0</v>
      </c>
      <c r="I29">
        <v>706.53885531425396</v>
      </c>
      <c r="J29">
        <v>3</v>
      </c>
      <c r="K29" t="s">
        <v>262</v>
      </c>
      <c r="L29">
        <v>603.44219565391495</v>
      </c>
      <c r="M29" t="s">
        <v>135</v>
      </c>
      <c r="N29">
        <v>44</v>
      </c>
      <c r="O29" t="b">
        <v>0</v>
      </c>
      <c r="P29">
        <v>632.62874960899296</v>
      </c>
      <c r="Q29">
        <v>3</v>
      </c>
      <c r="R29" t="s">
        <v>263</v>
      </c>
      <c r="S29">
        <v>600.00078296661297</v>
      </c>
      <c r="T29" t="s">
        <v>135</v>
      </c>
      <c r="U29">
        <v>42</v>
      </c>
      <c r="V29" t="b">
        <v>1</v>
      </c>
      <c r="W29">
        <v>60.039407253265303</v>
      </c>
      <c r="X29">
        <v>2</v>
      </c>
      <c r="Y29" t="s">
        <v>264</v>
      </c>
      <c r="Z29">
        <v>38.7822649478912</v>
      </c>
      <c r="AA29" t="s">
        <v>177</v>
      </c>
      <c r="AB29">
        <v>42</v>
      </c>
      <c r="AC29" t="b">
        <v>1</v>
      </c>
      <c r="AD29">
        <v>22.944168806076</v>
      </c>
      <c r="AE29">
        <v>2</v>
      </c>
      <c r="AF29" t="s">
        <v>467</v>
      </c>
      <c r="AG29">
        <v>3.2484240531921298</v>
      </c>
      <c r="AH29" t="s">
        <v>177</v>
      </c>
      <c r="AI29" t="s">
        <v>415</v>
      </c>
      <c r="AJ29">
        <v>0</v>
      </c>
      <c r="AK29" t="b">
        <f>IF(Opti[[#This Row],[FC_AC_30_sans_clique_Solution]]&gt;0,TRUE,FALSE)</f>
        <v>0</v>
      </c>
      <c r="AL29">
        <v>622.40641355514504</v>
      </c>
      <c r="AM29">
        <v>2</v>
      </c>
      <c r="AN29" t="s">
        <v>569</v>
      </c>
      <c r="AO29">
        <v>600.00133609771694</v>
      </c>
      <c r="AP29" t="s">
        <v>177</v>
      </c>
      <c r="AQ29" t="s">
        <v>389</v>
      </c>
    </row>
    <row r="30" spans="1:43" x14ac:dyDescent="0.25">
      <c r="A30" t="s">
        <v>60</v>
      </c>
      <c r="B30">
        <v>8190</v>
      </c>
      <c r="C30">
        <v>52</v>
      </c>
      <c r="D30">
        <f>Opti[[#This Row],[nb contraintes]]*Opti[[#This Row],[domaine max]]*Opti[[#This Row],[domaine max]]</f>
        <v>22145760</v>
      </c>
      <c r="E30" t="s">
        <v>16</v>
      </c>
      <c r="F30">
        <v>14</v>
      </c>
      <c r="G30">
        <v>17</v>
      </c>
      <c r="H30" t="b">
        <v>0</v>
      </c>
      <c r="I30">
        <v>655.03761672973599</v>
      </c>
      <c r="J30">
        <v>6</v>
      </c>
      <c r="K30" t="s">
        <v>320</v>
      </c>
      <c r="L30">
        <v>600.75415635108902</v>
      </c>
      <c r="M30" t="s">
        <v>150</v>
      </c>
      <c r="N30">
        <v>18</v>
      </c>
      <c r="O30" t="b">
        <v>0</v>
      </c>
      <c r="P30">
        <v>625.51525712013199</v>
      </c>
      <c r="Q30">
        <v>5</v>
      </c>
      <c r="R30" t="s">
        <v>321</v>
      </c>
      <c r="S30">
        <v>600.00195264816205</v>
      </c>
      <c r="T30" t="s">
        <v>165</v>
      </c>
      <c r="U30">
        <v>17</v>
      </c>
      <c r="V30" t="b">
        <v>0</v>
      </c>
      <c r="W30">
        <v>641.92115449905396</v>
      </c>
      <c r="X30">
        <v>5</v>
      </c>
      <c r="Y30" t="s">
        <v>322</v>
      </c>
      <c r="Z30">
        <v>600.00185418128899</v>
      </c>
      <c r="AA30" t="s">
        <v>179</v>
      </c>
      <c r="AB30">
        <v>0</v>
      </c>
      <c r="AC30" t="b">
        <v>0</v>
      </c>
      <c r="AD30">
        <v>627.26979708671502</v>
      </c>
      <c r="AE30">
        <v>5</v>
      </c>
      <c r="AF30" t="s">
        <v>485</v>
      </c>
      <c r="AG30">
        <v>600.00163888931195</v>
      </c>
      <c r="AH30" t="s">
        <v>179</v>
      </c>
      <c r="AI30" t="s">
        <v>430</v>
      </c>
      <c r="AJ30">
        <v>0</v>
      </c>
      <c r="AK30" t="b">
        <f>IF(Opti[[#This Row],[FC_AC_30_sans_clique_Solution]]&gt;0,TRUE,FALSE)</f>
        <v>0</v>
      </c>
      <c r="AL30">
        <v>620.97830915451004</v>
      </c>
      <c r="AM30">
        <v>5</v>
      </c>
      <c r="AN30" t="s">
        <v>588</v>
      </c>
      <c r="AO30">
        <v>600.00304698944001</v>
      </c>
      <c r="AP30" t="s">
        <v>179</v>
      </c>
      <c r="AQ30" t="s">
        <v>544</v>
      </c>
    </row>
    <row r="31" spans="1:43" x14ac:dyDescent="0.25">
      <c r="A31" t="s">
        <v>71</v>
      </c>
      <c r="B31">
        <v>9793</v>
      </c>
      <c r="C31">
        <v>67</v>
      </c>
      <c r="D31">
        <f>Opti[[#This Row],[nb contraintes]]*Opti[[#This Row],[domaine max]]*Opti[[#This Row],[domaine max]]</f>
        <v>43960777</v>
      </c>
      <c r="E31">
        <v>5</v>
      </c>
      <c r="F31">
        <v>5</v>
      </c>
      <c r="G31">
        <v>10</v>
      </c>
      <c r="H31" t="b">
        <v>0</v>
      </c>
      <c r="I31">
        <v>1126.185683012</v>
      </c>
      <c r="J31">
        <v>3</v>
      </c>
      <c r="K31" t="s">
        <v>256</v>
      </c>
      <c r="L31">
        <v>600.20188379287697</v>
      </c>
      <c r="M31" t="s">
        <v>133</v>
      </c>
      <c r="N31">
        <v>11</v>
      </c>
      <c r="O31" t="b">
        <v>0</v>
      </c>
      <c r="P31">
        <v>646.31720995903004</v>
      </c>
      <c r="Q31">
        <v>2</v>
      </c>
      <c r="R31" t="s">
        <v>257</v>
      </c>
      <c r="S31">
        <v>600.00523543357804</v>
      </c>
      <c r="T31" t="s">
        <v>115</v>
      </c>
      <c r="U31">
        <v>11</v>
      </c>
      <c r="V31" t="b">
        <v>0</v>
      </c>
      <c r="W31">
        <v>671.79309129714898</v>
      </c>
      <c r="X31">
        <v>3</v>
      </c>
      <c r="Y31" t="s">
        <v>258</v>
      </c>
      <c r="Z31">
        <v>600.00573396682705</v>
      </c>
      <c r="AA31" t="s">
        <v>175</v>
      </c>
      <c r="AB31">
        <v>0</v>
      </c>
      <c r="AC31" t="b">
        <v>0</v>
      </c>
      <c r="AD31">
        <v>1063.2574968337999</v>
      </c>
      <c r="AE31">
        <v>4</v>
      </c>
      <c r="AF31" t="s">
        <v>465</v>
      </c>
      <c r="AG31">
        <v>600.00355958938599</v>
      </c>
      <c r="AH31" t="s">
        <v>412</v>
      </c>
      <c r="AI31" t="s">
        <v>413</v>
      </c>
      <c r="AJ31">
        <v>0</v>
      </c>
      <c r="AK31" t="b">
        <f>IF(Opti[[#This Row],[FC_AC_30_sans_clique_Solution]]&gt;0,TRUE,FALSE)</f>
        <v>0</v>
      </c>
      <c r="AL31">
        <v>619.79308390617302</v>
      </c>
      <c r="AM31">
        <v>2</v>
      </c>
      <c r="AN31" t="s">
        <v>567</v>
      </c>
      <c r="AO31">
        <v>600.00413465499798</v>
      </c>
      <c r="AP31" t="s">
        <v>115</v>
      </c>
      <c r="AQ31" t="s">
        <v>526</v>
      </c>
    </row>
    <row r="32" spans="1:43" x14ac:dyDescent="0.25">
      <c r="A32" t="s">
        <v>20</v>
      </c>
      <c r="B32">
        <v>1820</v>
      </c>
      <c r="C32">
        <v>55</v>
      </c>
      <c r="D32">
        <f>Opti[[#This Row],[nb contraintes]]*Opti[[#This Row],[domaine max]]*Opti[[#This Row],[domaine max]]</f>
        <v>5505500</v>
      </c>
      <c r="E32" t="s">
        <v>16</v>
      </c>
      <c r="F32">
        <v>7</v>
      </c>
      <c r="G32">
        <v>15</v>
      </c>
      <c r="H32" t="b">
        <v>0</v>
      </c>
      <c r="I32">
        <v>679.90907883644104</v>
      </c>
      <c r="J32">
        <v>5</v>
      </c>
      <c r="K32" t="s">
        <v>193</v>
      </c>
      <c r="L32">
        <v>600.20346665382306</v>
      </c>
      <c r="M32" t="s">
        <v>117</v>
      </c>
      <c r="N32">
        <v>15</v>
      </c>
      <c r="O32" t="b">
        <v>0</v>
      </c>
      <c r="P32">
        <v>662.05057835578896</v>
      </c>
      <c r="Q32">
        <v>5</v>
      </c>
      <c r="R32" t="s">
        <v>194</v>
      </c>
      <c r="S32">
        <v>600.05048632621697</v>
      </c>
      <c r="T32" t="s">
        <v>117</v>
      </c>
      <c r="U32">
        <v>15</v>
      </c>
      <c r="V32" t="b">
        <v>0</v>
      </c>
      <c r="W32">
        <v>615.08220434188797</v>
      </c>
      <c r="X32">
        <v>4</v>
      </c>
      <c r="Y32" t="s">
        <v>195</v>
      </c>
      <c r="Z32">
        <v>600.00324225425697</v>
      </c>
      <c r="AA32" t="s">
        <v>169</v>
      </c>
      <c r="AB32">
        <v>0</v>
      </c>
      <c r="AC32" t="b">
        <v>0</v>
      </c>
      <c r="AD32">
        <v>615.54682493209805</v>
      </c>
      <c r="AE32">
        <v>4</v>
      </c>
      <c r="AF32" t="s">
        <v>445</v>
      </c>
      <c r="AG32">
        <v>600.01285624503998</v>
      </c>
      <c r="AH32" t="s">
        <v>169</v>
      </c>
      <c r="AI32" t="s">
        <v>392</v>
      </c>
      <c r="AJ32">
        <v>0</v>
      </c>
      <c r="AK32" t="b">
        <f>IF(Opti[[#This Row],[FC_AC_30_sans_clique_Solution]]&gt;0,TRUE,FALSE)</f>
        <v>0</v>
      </c>
      <c r="AL32">
        <v>616.49195408821095</v>
      </c>
      <c r="AM32">
        <v>4</v>
      </c>
      <c r="AN32" t="s">
        <v>615</v>
      </c>
      <c r="AO32">
        <v>600.05586004257202</v>
      </c>
      <c r="AP32" t="s">
        <v>169</v>
      </c>
      <c r="AQ32" t="s">
        <v>616</v>
      </c>
    </row>
    <row r="33" spans="1:43" x14ac:dyDescent="0.25">
      <c r="A33" t="s">
        <v>31</v>
      </c>
      <c r="B33">
        <v>3146</v>
      </c>
      <c r="C33">
        <v>100</v>
      </c>
      <c r="D33">
        <f>Opti[[#This Row],[nb contraintes]]*Opti[[#This Row],[domaine max]]*Opti[[#This Row],[domaine max]]</f>
        <v>31460000</v>
      </c>
      <c r="E33">
        <v>13</v>
      </c>
      <c r="F33">
        <v>11</v>
      </c>
      <c r="G33">
        <v>13</v>
      </c>
      <c r="H33" t="b">
        <v>0</v>
      </c>
      <c r="I33">
        <v>776.24188446998596</v>
      </c>
      <c r="J33">
        <v>2</v>
      </c>
      <c r="K33" t="s">
        <v>229</v>
      </c>
      <c r="L33">
        <v>600.80558609962395</v>
      </c>
      <c r="M33" t="s">
        <v>128</v>
      </c>
      <c r="N33">
        <v>13</v>
      </c>
      <c r="O33" t="b">
        <v>0</v>
      </c>
      <c r="P33">
        <v>773.84920072555497</v>
      </c>
      <c r="Q33">
        <v>2</v>
      </c>
      <c r="R33" t="s">
        <v>230</v>
      </c>
      <c r="S33">
        <v>600.00274729728699</v>
      </c>
      <c r="T33" t="s">
        <v>128</v>
      </c>
      <c r="U33">
        <v>13</v>
      </c>
      <c r="V33" t="b">
        <v>0</v>
      </c>
      <c r="W33">
        <v>776.98597002029396</v>
      </c>
      <c r="X33">
        <v>2</v>
      </c>
      <c r="Y33" t="s">
        <v>231</v>
      </c>
      <c r="Z33">
        <v>600.00388216972306</v>
      </c>
      <c r="AA33" t="s">
        <v>128</v>
      </c>
      <c r="AB33">
        <v>0</v>
      </c>
      <c r="AC33" t="b">
        <v>0</v>
      </c>
      <c r="AD33">
        <v>780.24919748306195</v>
      </c>
      <c r="AE33">
        <v>2</v>
      </c>
      <c r="AF33" t="s">
        <v>456</v>
      </c>
      <c r="AG33">
        <v>600.11819720268204</v>
      </c>
      <c r="AH33" t="s">
        <v>128</v>
      </c>
      <c r="AI33" t="s">
        <v>404</v>
      </c>
      <c r="AJ33">
        <v>0</v>
      </c>
      <c r="AK33" t="b">
        <f>IF(Opti[[#This Row],[FC_AC_30_sans_clique_Solution]]&gt;0,TRUE,FALSE)</f>
        <v>0</v>
      </c>
      <c r="AL33">
        <v>615.19803786277703</v>
      </c>
      <c r="AM33">
        <v>2</v>
      </c>
      <c r="AN33" t="s">
        <v>558</v>
      </c>
      <c r="AO33">
        <v>600.00329780578602</v>
      </c>
      <c r="AP33" t="s">
        <v>128</v>
      </c>
      <c r="AQ33" t="s">
        <v>522</v>
      </c>
    </row>
    <row r="34" spans="1:43" x14ac:dyDescent="0.25">
      <c r="A34" t="s">
        <v>26</v>
      </c>
      <c r="B34">
        <v>1475</v>
      </c>
      <c r="C34">
        <v>31</v>
      </c>
      <c r="D34">
        <f>Opti[[#This Row],[nb contraintes]]*Opti[[#This Row],[domaine max]]*Opti[[#This Row],[domaine max]]</f>
        <v>1417475</v>
      </c>
      <c r="E34" t="s">
        <v>16</v>
      </c>
      <c r="F34">
        <v>4</v>
      </c>
      <c r="G34">
        <v>7</v>
      </c>
      <c r="H34" t="b">
        <v>0</v>
      </c>
      <c r="I34">
        <v>612.28070926666203</v>
      </c>
      <c r="J34">
        <v>3</v>
      </c>
      <c r="K34" t="s">
        <v>211</v>
      </c>
      <c r="L34">
        <v>600.09275841712895</v>
      </c>
      <c r="M34" t="s">
        <v>120</v>
      </c>
      <c r="N34">
        <v>8</v>
      </c>
      <c r="O34" t="b">
        <v>0</v>
      </c>
      <c r="P34">
        <v>604.10048556327797</v>
      </c>
      <c r="Q34">
        <v>2</v>
      </c>
      <c r="R34" t="s">
        <v>212</v>
      </c>
      <c r="S34">
        <v>600.00375723838795</v>
      </c>
      <c r="T34" t="s">
        <v>137</v>
      </c>
      <c r="U34">
        <v>7</v>
      </c>
      <c r="V34" t="b">
        <v>0</v>
      </c>
      <c r="W34">
        <v>606.28128075599602</v>
      </c>
      <c r="X34">
        <v>3</v>
      </c>
      <c r="Y34" t="s">
        <v>213</v>
      </c>
      <c r="Z34">
        <v>600.002039909362</v>
      </c>
      <c r="AA34" t="s">
        <v>120</v>
      </c>
      <c r="AB34">
        <v>0</v>
      </c>
      <c r="AC34" t="b">
        <v>0</v>
      </c>
      <c r="AD34">
        <v>606.340361356735</v>
      </c>
      <c r="AE34">
        <v>3</v>
      </c>
      <c r="AF34" t="s">
        <v>451</v>
      </c>
      <c r="AG34">
        <v>600.01406955718903</v>
      </c>
      <c r="AH34" t="s">
        <v>120</v>
      </c>
      <c r="AI34" t="s">
        <v>399</v>
      </c>
      <c r="AJ34">
        <v>0</v>
      </c>
      <c r="AK34" t="b">
        <f>IF(Opti[[#This Row],[FC_AC_30_sans_clique_Solution]]&gt;0,TRUE,FALSE)</f>
        <v>0</v>
      </c>
      <c r="AL34">
        <v>614.49921202659596</v>
      </c>
      <c r="AM34">
        <v>3</v>
      </c>
      <c r="AN34" t="s">
        <v>628</v>
      </c>
      <c r="AO34">
        <v>600.00115346908501</v>
      </c>
      <c r="AP34" t="s">
        <v>120</v>
      </c>
      <c r="AQ34" t="s">
        <v>629</v>
      </c>
    </row>
    <row r="35" spans="1:43" x14ac:dyDescent="0.25">
      <c r="A35" t="s">
        <v>65</v>
      </c>
      <c r="B35">
        <v>1400</v>
      </c>
      <c r="C35">
        <v>28</v>
      </c>
      <c r="D35">
        <f>Opti[[#This Row],[nb contraintes]]*Opti[[#This Row],[domaine max]]*Opti[[#This Row],[domaine max]]</f>
        <v>1097600</v>
      </c>
      <c r="E35">
        <v>9</v>
      </c>
      <c r="F35">
        <v>8</v>
      </c>
      <c r="G35">
        <v>9</v>
      </c>
      <c r="H35" t="b">
        <v>0</v>
      </c>
      <c r="I35">
        <v>670.90898108482304</v>
      </c>
      <c r="J35">
        <v>7</v>
      </c>
      <c r="K35" t="s">
        <v>341</v>
      </c>
      <c r="L35">
        <v>600.00177216529801</v>
      </c>
      <c r="M35" t="s">
        <v>157</v>
      </c>
      <c r="N35">
        <v>10</v>
      </c>
      <c r="O35" t="b">
        <v>0</v>
      </c>
      <c r="P35">
        <v>611.39251041412297</v>
      </c>
      <c r="Q35">
        <v>6</v>
      </c>
      <c r="R35" t="s">
        <v>342</v>
      </c>
      <c r="S35">
        <v>600.00035071372895</v>
      </c>
      <c r="T35" t="s">
        <v>168</v>
      </c>
      <c r="U35">
        <v>9</v>
      </c>
      <c r="V35" t="b">
        <v>1</v>
      </c>
      <c r="W35">
        <v>391.860852241516</v>
      </c>
      <c r="X35">
        <v>5</v>
      </c>
      <c r="Y35" t="s">
        <v>343</v>
      </c>
      <c r="Z35">
        <v>368.12463521957397</v>
      </c>
      <c r="AA35" t="s">
        <v>183</v>
      </c>
      <c r="AB35">
        <v>9</v>
      </c>
      <c r="AC35" t="b">
        <v>1</v>
      </c>
      <c r="AD35">
        <v>89.453641414642306</v>
      </c>
      <c r="AE35">
        <v>5</v>
      </c>
      <c r="AF35" t="s">
        <v>492</v>
      </c>
      <c r="AG35">
        <v>80.949474334716797</v>
      </c>
      <c r="AH35" t="s">
        <v>183</v>
      </c>
      <c r="AI35" t="s">
        <v>437</v>
      </c>
      <c r="AJ35">
        <v>0</v>
      </c>
      <c r="AK35" t="b">
        <f>IF(Opti[[#This Row],[FC_AC_30_sans_clique_Solution]]&gt;0,TRUE,FALSE)</f>
        <v>0</v>
      </c>
      <c r="AL35">
        <v>613.01936006545998</v>
      </c>
      <c r="AM35">
        <v>5</v>
      </c>
      <c r="AN35" t="s">
        <v>595</v>
      </c>
      <c r="AO35">
        <v>600.00012254714898</v>
      </c>
      <c r="AP35" t="s">
        <v>183</v>
      </c>
      <c r="AQ35" t="s">
        <v>552</v>
      </c>
    </row>
    <row r="36" spans="1:43" x14ac:dyDescent="0.25">
      <c r="A36" t="s">
        <v>44</v>
      </c>
      <c r="B36">
        <v>3576</v>
      </c>
      <c r="C36">
        <v>65</v>
      </c>
      <c r="D36">
        <f>Opti[[#This Row],[nb contraintes]]*Opti[[#This Row],[domaine max]]*Opti[[#This Row],[domaine max]]</f>
        <v>15108600</v>
      </c>
      <c r="E36">
        <v>31</v>
      </c>
      <c r="F36">
        <v>26</v>
      </c>
      <c r="G36">
        <v>31</v>
      </c>
      <c r="H36" t="b">
        <v>0</v>
      </c>
      <c r="I36">
        <v>759.32660555839504</v>
      </c>
      <c r="J36">
        <v>4</v>
      </c>
      <c r="K36" t="s">
        <v>274</v>
      </c>
      <c r="L36">
        <v>602.358385086059</v>
      </c>
      <c r="M36" t="s">
        <v>139</v>
      </c>
      <c r="N36">
        <v>33</v>
      </c>
      <c r="O36" t="b">
        <v>0</v>
      </c>
      <c r="P36">
        <v>605.28135347366299</v>
      </c>
      <c r="Q36">
        <v>2</v>
      </c>
      <c r="R36" t="s">
        <v>275</v>
      </c>
      <c r="S36">
        <v>600.00079083442597</v>
      </c>
      <c r="T36" t="s">
        <v>125</v>
      </c>
      <c r="U36">
        <v>31</v>
      </c>
      <c r="V36" t="b">
        <v>1</v>
      </c>
      <c r="W36">
        <v>10.0034780502319</v>
      </c>
      <c r="X36">
        <v>2</v>
      </c>
      <c r="Y36" t="s">
        <v>276</v>
      </c>
      <c r="Z36">
        <v>2.0066831111907901</v>
      </c>
      <c r="AA36" t="s">
        <v>141</v>
      </c>
      <c r="AB36">
        <v>31</v>
      </c>
      <c r="AC36" t="b">
        <v>1</v>
      </c>
      <c r="AD36">
        <v>8.6780879497528005</v>
      </c>
      <c r="AE36">
        <v>2</v>
      </c>
      <c r="AF36" t="s">
        <v>471</v>
      </c>
      <c r="AG36">
        <v>0.78602242469787598</v>
      </c>
      <c r="AH36" t="s">
        <v>141</v>
      </c>
      <c r="AI36" t="s">
        <v>418</v>
      </c>
      <c r="AJ36">
        <v>0</v>
      </c>
      <c r="AK36" t="b">
        <f>IF(Opti[[#This Row],[FC_AC_30_sans_clique_Solution]]&gt;0,TRUE,FALSE)</f>
        <v>0</v>
      </c>
      <c r="AL36">
        <v>608.38675522804203</v>
      </c>
      <c r="AM36">
        <v>2</v>
      </c>
      <c r="AN36" t="s">
        <v>573</v>
      </c>
      <c r="AO36">
        <v>600.00190782546997</v>
      </c>
      <c r="AP36" t="s">
        <v>141</v>
      </c>
      <c r="AQ36" t="s">
        <v>389</v>
      </c>
    </row>
    <row r="37" spans="1:43" x14ac:dyDescent="0.25">
      <c r="A37" t="s">
        <v>55</v>
      </c>
      <c r="B37">
        <v>2359</v>
      </c>
      <c r="C37">
        <v>96</v>
      </c>
      <c r="D37">
        <f>Opti[[#This Row],[nb contraintes]]*Opti[[#This Row],[domaine max]]*Opti[[#This Row],[domaine max]]</f>
        <v>21740544</v>
      </c>
      <c r="E37">
        <v>8</v>
      </c>
      <c r="F37">
        <v>2</v>
      </c>
      <c r="G37">
        <v>8</v>
      </c>
      <c r="H37" t="b">
        <v>0</v>
      </c>
      <c r="I37">
        <v>609.81242847442604</v>
      </c>
      <c r="J37">
        <v>2</v>
      </c>
      <c r="K37" t="s">
        <v>305</v>
      </c>
      <c r="L37">
        <v>600.16627001762299</v>
      </c>
      <c r="M37" t="s">
        <v>137</v>
      </c>
      <c r="N37">
        <v>8</v>
      </c>
      <c r="O37" t="b">
        <v>0</v>
      </c>
      <c r="P37">
        <v>609.15823030471802</v>
      </c>
      <c r="Q37">
        <v>2</v>
      </c>
      <c r="R37" t="s">
        <v>306</v>
      </c>
      <c r="S37">
        <v>600.00050497054997</v>
      </c>
      <c r="T37" t="s">
        <v>137</v>
      </c>
      <c r="U37">
        <v>8</v>
      </c>
      <c r="V37" t="b">
        <v>0</v>
      </c>
      <c r="W37">
        <v>610.13802576064995</v>
      </c>
      <c r="X37">
        <v>2</v>
      </c>
      <c r="Y37" t="s">
        <v>307</v>
      </c>
      <c r="Z37">
        <v>600.000866413116</v>
      </c>
      <c r="AA37" t="s">
        <v>137</v>
      </c>
      <c r="AB37">
        <v>0</v>
      </c>
      <c r="AC37" t="b">
        <v>0</v>
      </c>
      <c r="AD37">
        <v>611.29377532005299</v>
      </c>
      <c r="AE37">
        <v>2</v>
      </c>
      <c r="AF37" t="s">
        <v>480</v>
      </c>
      <c r="AG37">
        <v>600.00011777877796</v>
      </c>
      <c r="AH37" t="s">
        <v>137</v>
      </c>
      <c r="AI37" t="s">
        <v>426</v>
      </c>
      <c r="AJ37">
        <v>0</v>
      </c>
      <c r="AK37" t="b">
        <f>IF(Opti[[#This Row],[FC_AC_30_sans_clique_Solution]]&gt;0,TRUE,FALSE)</f>
        <v>0</v>
      </c>
      <c r="AL37">
        <v>608.272395849227</v>
      </c>
      <c r="AM37">
        <v>2</v>
      </c>
      <c r="AN37" t="s">
        <v>583</v>
      </c>
      <c r="AO37">
        <v>600.00038433074894</v>
      </c>
      <c r="AP37" t="s">
        <v>137</v>
      </c>
      <c r="AQ37" t="s">
        <v>539</v>
      </c>
    </row>
    <row r="38" spans="1:43" x14ac:dyDescent="0.25">
      <c r="A38" t="s">
        <v>59</v>
      </c>
      <c r="B38">
        <v>6500</v>
      </c>
      <c r="C38">
        <v>49</v>
      </c>
      <c r="D38">
        <f>Opti[[#This Row],[nb contraintes]]*Opti[[#This Row],[domaine max]]*Opti[[#This Row],[domaine max]]</f>
        <v>15606500</v>
      </c>
      <c r="E38">
        <v>13</v>
      </c>
      <c r="F38">
        <v>13</v>
      </c>
      <c r="G38">
        <v>16</v>
      </c>
      <c r="H38" t="b">
        <v>0</v>
      </c>
      <c r="I38">
        <v>627.97939300537098</v>
      </c>
      <c r="J38">
        <v>7</v>
      </c>
      <c r="K38" t="s">
        <v>317</v>
      </c>
      <c r="L38">
        <v>600.59631824493397</v>
      </c>
      <c r="M38" t="s">
        <v>149</v>
      </c>
      <c r="N38">
        <v>21</v>
      </c>
      <c r="O38" t="b">
        <v>0</v>
      </c>
      <c r="P38">
        <v>606.95270228385903</v>
      </c>
      <c r="Q38">
        <v>2</v>
      </c>
      <c r="R38" t="s">
        <v>318</v>
      </c>
      <c r="S38">
        <v>600.00160241127003</v>
      </c>
      <c r="T38" t="s">
        <v>164</v>
      </c>
      <c r="U38">
        <v>17</v>
      </c>
      <c r="V38" t="b">
        <v>0</v>
      </c>
      <c r="W38">
        <v>610.98554491996697</v>
      </c>
      <c r="X38">
        <v>2</v>
      </c>
      <c r="Y38" t="s">
        <v>319</v>
      </c>
      <c r="Z38">
        <v>600.05183124542202</v>
      </c>
      <c r="AA38" t="s">
        <v>160</v>
      </c>
      <c r="AB38">
        <v>0</v>
      </c>
      <c r="AC38" t="b">
        <v>0</v>
      </c>
      <c r="AD38">
        <v>608.80379724502495</v>
      </c>
      <c r="AE38">
        <v>2</v>
      </c>
      <c r="AF38" t="s">
        <v>484</v>
      </c>
      <c r="AG38">
        <v>600.00101876258805</v>
      </c>
      <c r="AH38" t="s">
        <v>160</v>
      </c>
      <c r="AI38" t="s">
        <v>423</v>
      </c>
      <c r="AJ38">
        <v>0</v>
      </c>
      <c r="AK38" t="b">
        <f>IF(Opti[[#This Row],[FC_AC_30_sans_clique_Solution]]&gt;0,TRUE,FALSE)</f>
        <v>0</v>
      </c>
      <c r="AL38">
        <v>607.44591999053898</v>
      </c>
      <c r="AM38">
        <v>2</v>
      </c>
      <c r="AN38" t="s">
        <v>587</v>
      </c>
      <c r="AO38">
        <v>600.00187420844998</v>
      </c>
      <c r="AP38" t="s">
        <v>160</v>
      </c>
      <c r="AQ38" t="s">
        <v>543</v>
      </c>
    </row>
    <row r="39" spans="1:43" x14ac:dyDescent="0.25">
      <c r="A39" t="s">
        <v>39</v>
      </c>
      <c r="B39">
        <v>5724</v>
      </c>
      <c r="C39">
        <v>43</v>
      </c>
      <c r="D39">
        <f>Opti[[#This Row],[nb contraintes]]*Opti[[#This Row],[domaine max]]*Opti[[#This Row],[domaine max]]</f>
        <v>10583676</v>
      </c>
      <c r="E39">
        <v>5</v>
      </c>
      <c r="F39">
        <v>5</v>
      </c>
      <c r="G39">
        <v>9</v>
      </c>
      <c r="H39" t="b">
        <v>0</v>
      </c>
      <c r="I39">
        <v>735.17482233047394</v>
      </c>
      <c r="J39">
        <v>3</v>
      </c>
      <c r="K39" t="s">
        <v>253</v>
      </c>
      <c r="L39">
        <v>600.27779865264802</v>
      </c>
      <c r="M39" t="s">
        <v>132</v>
      </c>
      <c r="N39">
        <v>10</v>
      </c>
      <c r="O39" t="b">
        <v>0</v>
      </c>
      <c r="P39">
        <v>645.41963028907696</v>
      </c>
      <c r="Q39">
        <v>2</v>
      </c>
      <c r="R39" t="s">
        <v>254</v>
      </c>
      <c r="S39">
        <v>600.00604081153801</v>
      </c>
      <c r="T39" t="s">
        <v>161</v>
      </c>
      <c r="U39">
        <v>9</v>
      </c>
      <c r="V39" t="b">
        <v>0</v>
      </c>
      <c r="W39">
        <v>669.94925379753101</v>
      </c>
      <c r="X39">
        <v>3</v>
      </c>
      <c r="Y39" t="s">
        <v>255</v>
      </c>
      <c r="Z39">
        <v>600.004887342453</v>
      </c>
      <c r="AA39" t="s">
        <v>132</v>
      </c>
      <c r="AB39">
        <v>0</v>
      </c>
      <c r="AC39" t="b">
        <v>0</v>
      </c>
      <c r="AD39">
        <v>671.133085012435</v>
      </c>
      <c r="AE39">
        <v>3</v>
      </c>
      <c r="AF39" t="s">
        <v>464</v>
      </c>
      <c r="AG39">
        <v>600.00371742248501</v>
      </c>
      <c r="AH39" t="s">
        <v>132</v>
      </c>
      <c r="AI39" t="s">
        <v>411</v>
      </c>
      <c r="AJ39">
        <v>0</v>
      </c>
      <c r="AK39" t="b">
        <f>IF(Opti[[#This Row],[FC_AC_30_sans_clique_Solution]]&gt;0,TRUE,FALSE)</f>
        <v>0</v>
      </c>
      <c r="AL39">
        <v>606.56042003631501</v>
      </c>
      <c r="AM39">
        <v>3</v>
      </c>
      <c r="AN39" t="s">
        <v>566</v>
      </c>
      <c r="AO39">
        <v>600.00300335884003</v>
      </c>
      <c r="AP39" t="s">
        <v>132</v>
      </c>
      <c r="AQ39" t="s">
        <v>528</v>
      </c>
    </row>
    <row r="40" spans="1:43" x14ac:dyDescent="0.25">
      <c r="A40" t="s">
        <v>38</v>
      </c>
      <c r="B40">
        <v>5704</v>
      </c>
      <c r="C40">
        <v>43</v>
      </c>
      <c r="D40">
        <f>Opti[[#This Row],[nb contraintes]]*Opti[[#This Row],[domaine max]]*Opti[[#This Row],[domaine max]]</f>
        <v>10546696</v>
      </c>
      <c r="E40">
        <v>5</v>
      </c>
      <c r="F40">
        <v>5</v>
      </c>
      <c r="G40">
        <v>9</v>
      </c>
      <c r="H40" t="b">
        <v>0</v>
      </c>
      <c r="I40">
        <v>1160.67034101486</v>
      </c>
      <c r="J40">
        <v>3</v>
      </c>
      <c r="K40" t="s">
        <v>250</v>
      </c>
      <c r="L40">
        <v>600.29022860527004</v>
      </c>
      <c r="M40" t="s">
        <v>132</v>
      </c>
      <c r="N40">
        <v>10</v>
      </c>
      <c r="O40" t="b">
        <v>0</v>
      </c>
      <c r="P40">
        <v>644.73108410835198</v>
      </c>
      <c r="Q40">
        <v>2</v>
      </c>
      <c r="R40" t="s">
        <v>251</v>
      </c>
      <c r="S40">
        <v>600.03478670120205</v>
      </c>
      <c r="T40" t="s">
        <v>161</v>
      </c>
      <c r="U40">
        <v>9</v>
      </c>
      <c r="V40" t="b">
        <v>0</v>
      </c>
      <c r="W40">
        <v>677.56862592697098</v>
      </c>
      <c r="X40">
        <v>3</v>
      </c>
      <c r="Y40" t="s">
        <v>252</v>
      </c>
      <c r="Z40">
        <v>600.00587916374195</v>
      </c>
      <c r="AA40" t="s">
        <v>132</v>
      </c>
      <c r="AB40">
        <v>0</v>
      </c>
      <c r="AC40" t="b">
        <v>0</v>
      </c>
      <c r="AD40">
        <v>676.92212438583294</v>
      </c>
      <c r="AE40">
        <v>3</v>
      </c>
      <c r="AF40" t="s">
        <v>463</v>
      </c>
      <c r="AG40">
        <v>600.00482940673805</v>
      </c>
      <c r="AH40" t="s">
        <v>132</v>
      </c>
      <c r="AI40" t="s">
        <v>410</v>
      </c>
      <c r="AJ40">
        <v>0</v>
      </c>
      <c r="AK40" t="b">
        <f>IF(Opti[[#This Row],[FC_AC_30_sans_clique_Solution]]&gt;0,TRUE,FALSE)</f>
        <v>0</v>
      </c>
      <c r="AL40">
        <v>606.08034634590103</v>
      </c>
      <c r="AM40">
        <v>3</v>
      </c>
      <c r="AN40" t="s">
        <v>565</v>
      </c>
      <c r="AO40">
        <v>600.00313067436196</v>
      </c>
      <c r="AP40" t="s">
        <v>132</v>
      </c>
      <c r="AQ40" t="s">
        <v>527</v>
      </c>
    </row>
    <row r="41" spans="1:43" x14ac:dyDescent="0.25">
      <c r="A41" t="s">
        <v>56</v>
      </c>
      <c r="B41">
        <v>2850</v>
      </c>
      <c r="C41">
        <v>36</v>
      </c>
      <c r="D41">
        <f>Opti[[#This Row],[nb contraintes]]*Opti[[#This Row],[domaine max]]*Opti[[#This Row],[domaine max]]</f>
        <v>3693600</v>
      </c>
      <c r="E41" t="s">
        <v>16</v>
      </c>
      <c r="F41">
        <v>10</v>
      </c>
      <c r="G41">
        <v>12</v>
      </c>
      <c r="H41" t="b">
        <v>0</v>
      </c>
      <c r="I41">
        <v>605.018541336059</v>
      </c>
      <c r="J41">
        <v>5</v>
      </c>
      <c r="K41" t="s">
        <v>308</v>
      </c>
      <c r="L41">
        <v>600.10653996467499</v>
      </c>
      <c r="M41" t="s">
        <v>147</v>
      </c>
      <c r="N41">
        <v>12</v>
      </c>
      <c r="O41" t="b">
        <v>0</v>
      </c>
      <c r="P41">
        <v>916.57988715171803</v>
      </c>
      <c r="Q41">
        <v>5</v>
      </c>
      <c r="R41" t="s">
        <v>309</v>
      </c>
      <c r="S41">
        <v>600.00081610679604</v>
      </c>
      <c r="T41" t="s">
        <v>147</v>
      </c>
      <c r="U41">
        <v>12</v>
      </c>
      <c r="V41" t="b">
        <v>0</v>
      </c>
      <c r="W41">
        <v>612.40007519721905</v>
      </c>
      <c r="X41">
        <v>3</v>
      </c>
      <c r="Y41" t="s">
        <v>310</v>
      </c>
      <c r="Z41">
        <v>600.00296568870499</v>
      </c>
      <c r="AA41" t="s">
        <v>162</v>
      </c>
      <c r="AB41">
        <v>0</v>
      </c>
      <c r="AC41" t="b">
        <v>0</v>
      </c>
      <c r="AD41">
        <v>606.49408268928505</v>
      </c>
      <c r="AE41">
        <v>3</v>
      </c>
      <c r="AF41" t="s">
        <v>481</v>
      </c>
      <c r="AG41">
        <v>600.00000309944096</v>
      </c>
      <c r="AH41" t="s">
        <v>162</v>
      </c>
      <c r="AI41" t="s">
        <v>427</v>
      </c>
      <c r="AJ41">
        <v>0</v>
      </c>
      <c r="AK41" t="b">
        <f>IF(Opti[[#This Row],[FC_AC_30_sans_clique_Solution]]&gt;0,TRUE,FALSE)</f>
        <v>0</v>
      </c>
      <c r="AL41">
        <v>605.64638137817303</v>
      </c>
      <c r="AM41">
        <v>3</v>
      </c>
      <c r="AN41" t="s">
        <v>584</v>
      </c>
      <c r="AO41">
        <v>600.00012230873097</v>
      </c>
      <c r="AP41" t="s">
        <v>162</v>
      </c>
      <c r="AQ41" t="s">
        <v>540</v>
      </c>
    </row>
    <row r="42" spans="1:43" x14ac:dyDescent="0.25">
      <c r="A42" t="s">
        <v>19</v>
      </c>
      <c r="B42">
        <v>796</v>
      </c>
      <c r="C42">
        <v>22</v>
      </c>
      <c r="D42">
        <f>Opti[[#This Row],[nb contraintes]]*Opti[[#This Row],[domaine max]]*Opti[[#This Row],[domaine max]]</f>
        <v>385264</v>
      </c>
      <c r="E42" t="s">
        <v>16</v>
      </c>
      <c r="F42">
        <v>3</v>
      </c>
      <c r="G42">
        <v>6</v>
      </c>
      <c r="H42" t="b">
        <v>0</v>
      </c>
      <c r="I42">
        <v>607.27101325988701</v>
      </c>
      <c r="J42">
        <v>3</v>
      </c>
      <c r="K42" t="s">
        <v>190</v>
      </c>
      <c r="L42">
        <v>600.04132962226799</v>
      </c>
      <c r="M42" t="s">
        <v>116</v>
      </c>
      <c r="N42">
        <v>6</v>
      </c>
      <c r="O42" t="b">
        <v>0</v>
      </c>
      <c r="P42">
        <v>607.26046729087795</v>
      </c>
      <c r="Q42">
        <v>3</v>
      </c>
      <c r="R42" t="s">
        <v>191</v>
      </c>
      <c r="S42">
        <v>600.00893783569302</v>
      </c>
      <c r="T42" t="s">
        <v>116</v>
      </c>
      <c r="U42">
        <v>6</v>
      </c>
      <c r="V42" t="b">
        <v>0</v>
      </c>
      <c r="W42">
        <v>608.01256251335099</v>
      </c>
      <c r="X42">
        <v>3</v>
      </c>
      <c r="Y42" t="s">
        <v>192</v>
      </c>
      <c r="Z42">
        <v>600.035534381866</v>
      </c>
      <c r="AA42" t="s">
        <v>116</v>
      </c>
      <c r="AB42">
        <v>0</v>
      </c>
      <c r="AC42" t="b">
        <v>0</v>
      </c>
      <c r="AD42">
        <v>608.76926660537697</v>
      </c>
      <c r="AE42">
        <v>3</v>
      </c>
      <c r="AF42" t="s">
        <v>444</v>
      </c>
      <c r="AG42">
        <v>600.00611662864605</v>
      </c>
      <c r="AH42" t="s">
        <v>116</v>
      </c>
      <c r="AI42" t="s">
        <v>391</v>
      </c>
      <c r="AJ42">
        <v>0</v>
      </c>
      <c r="AK42" t="b">
        <f>IF(Opti[[#This Row],[FC_AC_30_sans_clique_Solution]]&gt;0,TRUE,FALSE)</f>
        <v>0</v>
      </c>
      <c r="AL42">
        <v>603.81125664710999</v>
      </c>
      <c r="AM42">
        <v>2</v>
      </c>
      <c r="AN42" t="s">
        <v>613</v>
      </c>
      <c r="AO42">
        <v>600.01060581207196</v>
      </c>
      <c r="AP42" t="s">
        <v>145</v>
      </c>
      <c r="AQ42" t="s">
        <v>614</v>
      </c>
    </row>
    <row r="43" spans="1:43" x14ac:dyDescent="0.25">
      <c r="A43" t="s">
        <v>66</v>
      </c>
      <c r="B43">
        <v>2040</v>
      </c>
      <c r="C43">
        <v>33</v>
      </c>
      <c r="D43">
        <f>Opti[[#This Row],[nb contraintes]]*Opti[[#This Row],[domaine max]]*Opti[[#This Row],[domaine max]]</f>
        <v>2221560</v>
      </c>
      <c r="E43">
        <v>10</v>
      </c>
      <c r="F43">
        <v>9</v>
      </c>
      <c r="G43">
        <v>11</v>
      </c>
      <c r="H43" t="b">
        <v>0</v>
      </c>
      <c r="I43">
        <v>605.08914566040005</v>
      </c>
      <c r="J43">
        <v>5</v>
      </c>
      <c r="K43" t="s">
        <v>344</v>
      </c>
      <c r="L43">
        <v>600.05038380622796</v>
      </c>
      <c r="M43" t="s">
        <v>121</v>
      </c>
      <c r="N43">
        <v>12</v>
      </c>
      <c r="O43" t="b">
        <v>0</v>
      </c>
      <c r="P43">
        <v>601.80973958969105</v>
      </c>
      <c r="Q43">
        <v>4</v>
      </c>
      <c r="R43" t="s">
        <v>345</v>
      </c>
      <c r="S43">
        <v>600.00032162666298</v>
      </c>
      <c r="T43" t="s">
        <v>122</v>
      </c>
      <c r="U43">
        <v>11</v>
      </c>
      <c r="V43" t="b">
        <v>0</v>
      </c>
      <c r="W43">
        <v>603.779246330261</v>
      </c>
      <c r="X43">
        <v>4</v>
      </c>
      <c r="Y43" t="s">
        <v>346</v>
      </c>
      <c r="Z43">
        <v>600.00177836418095</v>
      </c>
      <c r="AA43" t="s">
        <v>134</v>
      </c>
      <c r="AB43">
        <v>0</v>
      </c>
      <c r="AC43" t="b">
        <v>0</v>
      </c>
      <c r="AD43">
        <v>602.46202182769696</v>
      </c>
      <c r="AE43">
        <v>4</v>
      </c>
      <c r="AF43" t="s">
        <v>493</v>
      </c>
      <c r="AG43">
        <v>600.00038337707497</v>
      </c>
      <c r="AH43" t="s">
        <v>134</v>
      </c>
      <c r="AI43" t="s">
        <v>438</v>
      </c>
      <c r="AJ43">
        <v>0</v>
      </c>
      <c r="AK43" t="b">
        <f>IF(Opti[[#This Row],[FC_AC_30_sans_clique_Solution]]&gt;0,TRUE,FALSE)</f>
        <v>0</v>
      </c>
      <c r="AL43">
        <v>602.53343558311406</v>
      </c>
      <c r="AM43">
        <v>4</v>
      </c>
      <c r="AN43" t="s">
        <v>596</v>
      </c>
      <c r="AO43">
        <v>600.00062465667702</v>
      </c>
      <c r="AP43" t="s">
        <v>134</v>
      </c>
      <c r="AQ43" t="s">
        <v>553</v>
      </c>
    </row>
    <row r="44" spans="1:43" x14ac:dyDescent="0.25">
      <c r="A44" t="s">
        <v>27</v>
      </c>
      <c r="B44">
        <v>407</v>
      </c>
      <c r="C44">
        <v>31</v>
      </c>
      <c r="D44">
        <f>Opti[[#This Row],[nb contraintes]]*Opti[[#This Row],[domaine max]]*Opti[[#This Row],[domaine max]]</f>
        <v>391127</v>
      </c>
      <c r="E44" t="s">
        <v>16</v>
      </c>
      <c r="F44">
        <v>13</v>
      </c>
      <c r="G44">
        <v>13</v>
      </c>
      <c r="H44" t="b">
        <v>1</v>
      </c>
      <c r="I44">
        <v>2.3011806011199898</v>
      </c>
      <c r="J44">
        <v>3</v>
      </c>
      <c r="K44" t="s">
        <v>214</v>
      </c>
      <c r="L44">
        <v>0.65375375747680597</v>
      </c>
      <c r="M44" t="s">
        <v>123</v>
      </c>
      <c r="N44">
        <v>13</v>
      </c>
      <c r="O44" t="b">
        <v>0</v>
      </c>
      <c r="P44">
        <v>2.4501996040344198</v>
      </c>
      <c r="Q44">
        <v>3</v>
      </c>
      <c r="R44" t="s">
        <v>215</v>
      </c>
      <c r="S44">
        <v>0.747933149337768</v>
      </c>
      <c r="T44" t="s">
        <v>123</v>
      </c>
      <c r="U44">
        <v>13</v>
      </c>
      <c r="V44" t="b">
        <v>1</v>
      </c>
      <c r="W44">
        <v>1.0589864253997801</v>
      </c>
      <c r="X44">
        <v>1</v>
      </c>
      <c r="Y44" t="s">
        <v>216</v>
      </c>
      <c r="Z44">
        <v>0.918753862380981</v>
      </c>
      <c r="AA44" t="s">
        <v>172</v>
      </c>
      <c r="AB44">
        <v>13</v>
      </c>
      <c r="AC44" t="b">
        <v>1</v>
      </c>
      <c r="AD44">
        <v>1.01289558410644</v>
      </c>
      <c r="AE44">
        <v>1</v>
      </c>
      <c r="AF44" t="s">
        <v>601</v>
      </c>
      <c r="AG44">
        <v>0.89596676826476995</v>
      </c>
      <c r="AH44" t="s">
        <v>172</v>
      </c>
      <c r="AI44" t="s">
        <v>602</v>
      </c>
      <c r="AJ44">
        <v>0</v>
      </c>
      <c r="AK44" t="b">
        <f>IF(Opti[[#This Row],[FC_AC_30_sans_clique_Solution]]&gt;0,TRUE,FALSE)</f>
        <v>0</v>
      </c>
      <c r="AL44">
        <v>602.17123770713795</v>
      </c>
      <c r="AM44">
        <v>2</v>
      </c>
      <c r="AN44" t="s">
        <v>600</v>
      </c>
      <c r="AO44">
        <v>600.00132131576504</v>
      </c>
      <c r="AP44" t="s">
        <v>128</v>
      </c>
      <c r="AQ44" t="s">
        <v>556</v>
      </c>
    </row>
    <row r="45" spans="1:43" x14ac:dyDescent="0.25">
      <c r="A45" t="s">
        <v>18</v>
      </c>
      <c r="B45">
        <v>722</v>
      </c>
      <c r="C45">
        <v>83</v>
      </c>
      <c r="D45">
        <f>Opti[[#This Row],[nb contraintes]]*Opti[[#This Row],[domaine max]]*Opti[[#This Row],[domaine max]]</f>
        <v>4973858</v>
      </c>
      <c r="E45">
        <v>11</v>
      </c>
      <c r="F45">
        <v>10</v>
      </c>
      <c r="G45">
        <v>11</v>
      </c>
      <c r="H45" t="b">
        <v>0</v>
      </c>
      <c r="I45">
        <v>601.517085313797</v>
      </c>
      <c r="J45">
        <v>2</v>
      </c>
      <c r="K45" t="s">
        <v>187</v>
      </c>
      <c r="L45">
        <v>600.13222146034195</v>
      </c>
      <c r="M45" t="s">
        <v>115</v>
      </c>
      <c r="N45">
        <v>11</v>
      </c>
      <c r="O45" t="b">
        <v>0</v>
      </c>
      <c r="P45">
        <v>601.515860319137</v>
      </c>
      <c r="Q45">
        <v>2</v>
      </c>
      <c r="R45" t="s">
        <v>188</v>
      </c>
      <c r="S45">
        <v>600.00024318695</v>
      </c>
      <c r="T45" t="s">
        <v>115</v>
      </c>
      <c r="U45">
        <v>11</v>
      </c>
      <c r="V45" t="b">
        <v>1</v>
      </c>
      <c r="W45">
        <v>1.7637927532196001</v>
      </c>
      <c r="X45">
        <v>2</v>
      </c>
      <c r="Y45" t="s">
        <v>189</v>
      </c>
      <c r="Z45">
        <v>2.3956298828125E-2</v>
      </c>
      <c r="AA45" t="s">
        <v>115</v>
      </c>
      <c r="AB45">
        <v>11</v>
      </c>
      <c r="AC45" t="b">
        <v>1</v>
      </c>
      <c r="AD45">
        <v>1.9425587654113701</v>
      </c>
      <c r="AE45">
        <v>2</v>
      </c>
      <c r="AF45" t="s">
        <v>443</v>
      </c>
      <c r="AG45">
        <v>2.19883918762207E-2</v>
      </c>
      <c r="AH45" t="s">
        <v>115</v>
      </c>
      <c r="AI45" t="s">
        <v>390</v>
      </c>
      <c r="AJ45">
        <v>0</v>
      </c>
      <c r="AK45" t="b">
        <f>IF(Opti[[#This Row],[FC_AC_30_sans_clique_Solution]]&gt;0,TRUE,FALSE)</f>
        <v>0</v>
      </c>
      <c r="AL45">
        <v>601.969035863876</v>
      </c>
      <c r="AM45">
        <v>2</v>
      </c>
      <c r="AN45" t="s">
        <v>611</v>
      </c>
      <c r="AO45">
        <v>600.00033569335903</v>
      </c>
      <c r="AP45" t="s">
        <v>115</v>
      </c>
      <c r="AQ45" t="s">
        <v>612</v>
      </c>
    </row>
    <row r="46" spans="1:43" x14ac:dyDescent="0.25">
      <c r="A46" t="s">
        <v>64</v>
      </c>
      <c r="B46">
        <v>2604</v>
      </c>
      <c r="C46">
        <v>33</v>
      </c>
      <c r="D46">
        <f>Opti[[#This Row],[nb contraintes]]*Opti[[#This Row],[domaine max]]*Opti[[#This Row],[domaine max]]</f>
        <v>2835756</v>
      </c>
      <c r="E46">
        <v>12</v>
      </c>
      <c r="F46">
        <v>12</v>
      </c>
      <c r="G46">
        <v>12</v>
      </c>
      <c r="H46" t="b">
        <v>1</v>
      </c>
      <c r="I46">
        <v>5.2431766986846897</v>
      </c>
      <c r="J46">
        <v>2</v>
      </c>
      <c r="K46" t="s">
        <v>338</v>
      </c>
      <c r="L46">
        <v>3.88625717163085</v>
      </c>
      <c r="M46" t="s">
        <v>156</v>
      </c>
      <c r="N46">
        <v>12</v>
      </c>
      <c r="O46" t="b">
        <v>1</v>
      </c>
      <c r="P46">
        <v>2.6633195877075102</v>
      </c>
      <c r="Q46">
        <v>2</v>
      </c>
      <c r="R46" t="s">
        <v>339</v>
      </c>
      <c r="S46">
        <v>1.2593636512756301</v>
      </c>
      <c r="T46" t="s">
        <v>156</v>
      </c>
      <c r="U46">
        <v>12</v>
      </c>
      <c r="V46" t="b">
        <v>1</v>
      </c>
      <c r="W46">
        <v>2.4654364585876398</v>
      </c>
      <c r="X46">
        <v>2</v>
      </c>
      <c r="Y46" t="s">
        <v>340</v>
      </c>
      <c r="Z46">
        <v>0.24503421783447199</v>
      </c>
      <c r="AA46" t="s">
        <v>156</v>
      </c>
      <c r="AB46">
        <v>12</v>
      </c>
      <c r="AC46" t="b">
        <v>1</v>
      </c>
      <c r="AD46">
        <v>1.92972707748413</v>
      </c>
      <c r="AE46">
        <v>2</v>
      </c>
      <c r="AF46" t="s">
        <v>491</v>
      </c>
      <c r="AG46">
        <v>0.1309175491333</v>
      </c>
      <c r="AH46" t="s">
        <v>156</v>
      </c>
      <c r="AI46" t="s">
        <v>436</v>
      </c>
      <c r="AJ46">
        <v>0</v>
      </c>
      <c r="AK46" t="b">
        <f>IF(Opti[[#This Row],[FC_AC_30_sans_clique_Solution]]&gt;0,TRUE,FALSE)</f>
        <v>0</v>
      </c>
      <c r="AL46">
        <v>601.91143870353699</v>
      </c>
      <c r="AM46">
        <v>3</v>
      </c>
      <c r="AN46" t="s">
        <v>594</v>
      </c>
      <c r="AO46">
        <v>600.001551628112</v>
      </c>
      <c r="AP46" t="s">
        <v>162</v>
      </c>
      <c r="AQ46" t="s">
        <v>551</v>
      </c>
    </row>
    <row r="47" spans="1:43" x14ac:dyDescent="0.25">
      <c r="A47" t="s">
        <v>43</v>
      </c>
      <c r="B47">
        <v>1998</v>
      </c>
      <c r="C47">
        <v>39</v>
      </c>
      <c r="D47">
        <f>Opti[[#This Row],[nb contraintes]]*Opti[[#This Row],[domaine max]]*Opti[[#This Row],[domaine max]]</f>
        <v>3038958</v>
      </c>
      <c r="E47">
        <v>20</v>
      </c>
      <c r="F47">
        <v>19</v>
      </c>
      <c r="G47">
        <v>20</v>
      </c>
      <c r="H47" t="b">
        <v>0</v>
      </c>
      <c r="I47">
        <v>660.06741285324097</v>
      </c>
      <c r="J47">
        <v>4</v>
      </c>
      <c r="K47" t="s">
        <v>271</v>
      </c>
      <c r="L47">
        <v>601.17205238342206</v>
      </c>
      <c r="M47" t="s">
        <v>138</v>
      </c>
      <c r="N47">
        <v>20</v>
      </c>
      <c r="O47" t="b">
        <v>0</v>
      </c>
      <c r="P47">
        <v>855.50347900390602</v>
      </c>
      <c r="Q47">
        <v>4</v>
      </c>
      <c r="R47" t="s">
        <v>272</v>
      </c>
      <c r="S47">
        <v>600.00077843665997</v>
      </c>
      <c r="T47" t="s">
        <v>138</v>
      </c>
      <c r="U47">
        <v>20</v>
      </c>
      <c r="V47" t="b">
        <v>1</v>
      </c>
      <c r="W47">
        <v>2.9245581626892001</v>
      </c>
      <c r="X47">
        <v>2</v>
      </c>
      <c r="Y47" t="s">
        <v>273</v>
      </c>
      <c r="Z47">
        <v>0.116087198257446</v>
      </c>
      <c r="AA47" t="s">
        <v>178</v>
      </c>
      <c r="AB47">
        <v>20</v>
      </c>
      <c r="AC47" t="b">
        <v>1</v>
      </c>
      <c r="AD47">
        <v>2.7252905368804901</v>
      </c>
      <c r="AE47">
        <v>2</v>
      </c>
      <c r="AF47" t="s">
        <v>470</v>
      </c>
      <c r="AG47">
        <v>0.14590620994567799</v>
      </c>
      <c r="AH47" t="s">
        <v>178</v>
      </c>
      <c r="AI47" t="s">
        <v>417</v>
      </c>
      <c r="AJ47">
        <v>0</v>
      </c>
      <c r="AK47" t="b">
        <f>IF(Opti[[#This Row],[FC_AC_30_sans_clique_Solution]]&gt;0,TRUE,FALSE)</f>
        <v>0</v>
      </c>
      <c r="AL47">
        <v>601.89633989334095</v>
      </c>
      <c r="AM47">
        <v>2</v>
      </c>
      <c r="AN47" t="s">
        <v>572</v>
      </c>
      <c r="AO47">
        <v>600.00057005882195</v>
      </c>
      <c r="AP47" t="s">
        <v>178</v>
      </c>
      <c r="AQ47" t="s">
        <v>389</v>
      </c>
    </row>
    <row r="48" spans="1:43" x14ac:dyDescent="0.25">
      <c r="A48" t="s">
        <v>17</v>
      </c>
      <c r="B48">
        <v>896</v>
      </c>
      <c r="C48">
        <v>72</v>
      </c>
      <c r="D48">
        <f>Opti[[#This Row],[nb contraintes]]*Opti[[#This Row],[domaine max]]*Opti[[#This Row],[domaine max]]</f>
        <v>4644864</v>
      </c>
      <c r="E48">
        <v>11</v>
      </c>
      <c r="F48">
        <v>10</v>
      </c>
      <c r="G48">
        <v>11</v>
      </c>
      <c r="H48" t="b">
        <v>0</v>
      </c>
      <c r="I48">
        <v>605.29032397270203</v>
      </c>
      <c r="J48">
        <v>2</v>
      </c>
      <c r="K48" t="s">
        <v>184</v>
      </c>
      <c r="L48">
        <v>600.91414427757195</v>
      </c>
      <c r="M48" t="s">
        <v>115</v>
      </c>
      <c r="N48">
        <v>11</v>
      </c>
      <c r="O48" t="b">
        <v>0</v>
      </c>
      <c r="P48">
        <v>604.965272426605</v>
      </c>
      <c r="Q48">
        <v>2</v>
      </c>
      <c r="R48" t="s">
        <v>185</v>
      </c>
      <c r="S48">
        <v>600.00135254859902</v>
      </c>
      <c r="T48" t="s">
        <v>115</v>
      </c>
      <c r="U48">
        <v>11</v>
      </c>
      <c r="V48" t="b">
        <v>1</v>
      </c>
      <c r="W48">
        <v>4.5376820564270002</v>
      </c>
      <c r="X48">
        <v>2</v>
      </c>
      <c r="Y48" t="s">
        <v>186</v>
      </c>
      <c r="Z48">
        <v>2.5950193405151301E-2</v>
      </c>
      <c r="AA48" t="s">
        <v>115</v>
      </c>
      <c r="AB48">
        <v>11</v>
      </c>
      <c r="AC48" t="b">
        <v>1</v>
      </c>
      <c r="AD48">
        <v>5.5014290809631303</v>
      </c>
      <c r="AE48">
        <v>2</v>
      </c>
      <c r="AF48" t="s">
        <v>442</v>
      </c>
      <c r="AG48">
        <v>5.8234691619872998E-2</v>
      </c>
      <c r="AH48" t="s">
        <v>115</v>
      </c>
      <c r="AI48" t="s">
        <v>389</v>
      </c>
      <c r="AJ48">
        <v>0</v>
      </c>
      <c r="AK48" t="b">
        <f>IF(Opti[[#This Row],[FC_AC_30_sans_clique_Solution]]&gt;0,TRUE,FALSE)</f>
        <v>0</v>
      </c>
      <c r="AL48">
        <v>601.63103222846905</v>
      </c>
      <c r="AM48">
        <v>2</v>
      </c>
      <c r="AN48" t="s">
        <v>609</v>
      </c>
      <c r="AO48">
        <v>600.00033426284699</v>
      </c>
      <c r="AP48" t="s">
        <v>115</v>
      </c>
      <c r="AQ48" t="s">
        <v>610</v>
      </c>
    </row>
    <row r="49" spans="1:43" x14ac:dyDescent="0.25">
      <c r="A49" t="s">
        <v>54</v>
      </c>
      <c r="B49">
        <v>754</v>
      </c>
      <c r="C49">
        <v>48</v>
      </c>
      <c r="D49">
        <f>Opti[[#This Row],[nb contraintes]]*Opti[[#This Row],[domaine max]]*Opti[[#This Row],[domaine max]]</f>
        <v>1737216</v>
      </c>
      <c r="E49">
        <v>7</v>
      </c>
      <c r="F49">
        <v>2</v>
      </c>
      <c r="G49">
        <v>7</v>
      </c>
      <c r="H49" t="b">
        <v>0</v>
      </c>
      <c r="I49">
        <v>600.98416948318402</v>
      </c>
      <c r="J49">
        <v>2</v>
      </c>
      <c r="K49" t="s">
        <v>302</v>
      </c>
      <c r="L49">
        <v>600.05643320083595</v>
      </c>
      <c r="M49" t="s">
        <v>146</v>
      </c>
      <c r="N49">
        <v>7</v>
      </c>
      <c r="O49" t="b">
        <v>0</v>
      </c>
      <c r="P49">
        <v>600.91104817390396</v>
      </c>
      <c r="Q49">
        <v>2</v>
      </c>
      <c r="R49" t="s">
        <v>303</v>
      </c>
      <c r="S49">
        <v>600.00027894973698</v>
      </c>
      <c r="T49" t="s">
        <v>146</v>
      </c>
      <c r="U49">
        <v>7</v>
      </c>
      <c r="V49" t="b">
        <v>0</v>
      </c>
      <c r="W49">
        <v>601.17985224723805</v>
      </c>
      <c r="X49">
        <v>2</v>
      </c>
      <c r="Y49" t="s">
        <v>304</v>
      </c>
      <c r="Z49">
        <v>600.00066709518399</v>
      </c>
      <c r="AA49" t="s">
        <v>146</v>
      </c>
      <c r="AB49">
        <v>0</v>
      </c>
      <c r="AC49" t="b">
        <v>0</v>
      </c>
      <c r="AD49">
        <v>601.20095467567398</v>
      </c>
      <c r="AE49">
        <v>2</v>
      </c>
      <c r="AF49" t="s">
        <v>479</v>
      </c>
      <c r="AG49">
        <v>600.00008487701405</v>
      </c>
      <c r="AH49" t="s">
        <v>146</v>
      </c>
      <c r="AI49" t="s">
        <v>415</v>
      </c>
      <c r="AJ49">
        <v>0</v>
      </c>
      <c r="AK49" t="b">
        <f>IF(Opti[[#This Row],[FC_AC_30_sans_clique_Solution]]&gt;0,TRUE,FALSE)</f>
        <v>0</v>
      </c>
      <c r="AL49">
        <v>600.98398613929703</v>
      </c>
      <c r="AM49">
        <v>2</v>
      </c>
      <c r="AN49" t="s">
        <v>582</v>
      </c>
      <c r="AO49">
        <v>600.00098085403397</v>
      </c>
      <c r="AP49" t="s">
        <v>146</v>
      </c>
      <c r="AQ49" t="s">
        <v>538</v>
      </c>
    </row>
    <row r="50" spans="1:43" x14ac:dyDescent="0.25">
      <c r="A50" t="s">
        <v>32</v>
      </c>
      <c r="B50">
        <v>530</v>
      </c>
      <c r="C50">
        <v>54</v>
      </c>
      <c r="D50">
        <f>Opti[[#This Row],[nb contraintes]]*Opti[[#This Row],[domaine max]]*Opti[[#This Row],[domaine max]]</f>
        <v>1545480</v>
      </c>
      <c r="E50">
        <v>11</v>
      </c>
      <c r="F50">
        <v>9</v>
      </c>
      <c r="G50">
        <v>11</v>
      </c>
      <c r="H50" t="b">
        <v>1</v>
      </c>
      <c r="I50">
        <v>1.7052574157714799</v>
      </c>
      <c r="J50">
        <v>2</v>
      </c>
      <c r="K50" t="s">
        <v>232</v>
      </c>
      <c r="L50">
        <v>0.90428185462951605</v>
      </c>
      <c r="M50" t="s">
        <v>115</v>
      </c>
      <c r="N50">
        <v>11</v>
      </c>
      <c r="O50" t="b">
        <v>1</v>
      </c>
      <c r="P50">
        <v>1.5213658809661801</v>
      </c>
      <c r="Q50">
        <v>2</v>
      </c>
      <c r="R50" t="s">
        <v>233</v>
      </c>
      <c r="S50">
        <v>0.78700375556945801</v>
      </c>
      <c r="T50" t="s">
        <v>115</v>
      </c>
      <c r="U50">
        <v>11</v>
      </c>
      <c r="V50" t="b">
        <v>1</v>
      </c>
      <c r="W50">
        <v>0.88581538200378396</v>
      </c>
      <c r="X50">
        <v>2</v>
      </c>
      <c r="Y50" t="s">
        <v>234</v>
      </c>
      <c r="Z50">
        <v>1.3972759246826101E-2</v>
      </c>
      <c r="AA50" t="s">
        <v>115</v>
      </c>
      <c r="AB50">
        <v>11</v>
      </c>
      <c r="AC50" t="b">
        <v>1</v>
      </c>
      <c r="AD50">
        <v>0.84896230697631803</v>
      </c>
      <c r="AE50">
        <v>2</v>
      </c>
      <c r="AF50" t="s">
        <v>457</v>
      </c>
      <c r="AG50">
        <v>1.49886608123779E-2</v>
      </c>
      <c r="AH50" t="s">
        <v>115</v>
      </c>
      <c r="AI50" t="s">
        <v>405</v>
      </c>
      <c r="AJ50">
        <v>0</v>
      </c>
      <c r="AK50" t="b">
        <f>IF(Opti[[#This Row],[FC_AC_30_sans_clique_Solution]]&gt;0,TRUE,FALSE)</f>
        <v>0</v>
      </c>
      <c r="AL50">
        <v>600.72198343276898</v>
      </c>
      <c r="AM50">
        <v>2</v>
      </c>
      <c r="AN50" t="s">
        <v>559</v>
      </c>
      <c r="AO50">
        <v>600.00098133087101</v>
      </c>
      <c r="AP50" t="s">
        <v>115</v>
      </c>
      <c r="AQ50" t="s">
        <v>523</v>
      </c>
    </row>
    <row r="51" spans="1:43" x14ac:dyDescent="0.25">
      <c r="A51" t="s">
        <v>33</v>
      </c>
      <c r="B51">
        <v>418</v>
      </c>
      <c r="C51">
        <v>37</v>
      </c>
      <c r="D51">
        <f>Opti[[#This Row],[nb contraintes]]*Opti[[#This Row],[domaine max]]*Opti[[#This Row],[domaine max]]</f>
        <v>572242</v>
      </c>
      <c r="E51">
        <v>10</v>
      </c>
      <c r="F51">
        <v>10</v>
      </c>
      <c r="G51">
        <v>10</v>
      </c>
      <c r="H51" t="b">
        <v>1</v>
      </c>
      <c r="I51">
        <v>2.40810894966125</v>
      </c>
      <c r="J51">
        <v>2</v>
      </c>
      <c r="K51" t="s">
        <v>235</v>
      </c>
      <c r="L51">
        <v>1.91754150390625</v>
      </c>
      <c r="M51" t="s">
        <v>129</v>
      </c>
      <c r="N51">
        <v>11</v>
      </c>
      <c r="O51" t="b">
        <v>0</v>
      </c>
      <c r="P51">
        <v>600.47679376602105</v>
      </c>
      <c r="Q51">
        <v>2</v>
      </c>
      <c r="R51" t="s">
        <v>236</v>
      </c>
      <c r="S51">
        <v>600.00024342536904</v>
      </c>
      <c r="T51" t="s">
        <v>115</v>
      </c>
      <c r="U51">
        <v>10</v>
      </c>
      <c r="V51" t="b">
        <v>1</v>
      </c>
      <c r="W51">
        <v>0.39375281333923301</v>
      </c>
      <c r="X51">
        <v>1</v>
      </c>
      <c r="Y51" t="s">
        <v>237</v>
      </c>
      <c r="Z51">
        <v>9.2826128005981404E-2</v>
      </c>
      <c r="AA51" t="s">
        <v>173</v>
      </c>
      <c r="AB51">
        <v>10</v>
      </c>
      <c r="AC51" t="b">
        <v>1</v>
      </c>
      <c r="AD51">
        <v>0.381763935089111</v>
      </c>
      <c r="AE51">
        <v>1</v>
      </c>
      <c r="AF51" t="s">
        <v>458</v>
      </c>
      <c r="AG51">
        <v>5.0968885421752902E-2</v>
      </c>
      <c r="AH51" t="s">
        <v>173</v>
      </c>
      <c r="AI51" t="s">
        <v>406</v>
      </c>
      <c r="AJ51">
        <v>0</v>
      </c>
      <c r="AK51" t="b">
        <f>IF(Opti[[#This Row],[FC_AC_30_sans_clique_Solution]]&gt;0,TRUE,FALSE)</f>
        <v>0</v>
      </c>
      <c r="AL51">
        <v>600.63522195815995</v>
      </c>
      <c r="AM51">
        <v>2</v>
      </c>
      <c r="AN51" t="s">
        <v>560</v>
      </c>
      <c r="AO51">
        <v>600.00031423568703</v>
      </c>
      <c r="AP51" t="s">
        <v>161</v>
      </c>
      <c r="AQ51" t="s">
        <v>524</v>
      </c>
    </row>
    <row r="52" spans="1:43" x14ac:dyDescent="0.25">
      <c r="A52" t="s">
        <v>30</v>
      </c>
      <c r="B52">
        <v>1204</v>
      </c>
      <c r="C52">
        <v>14</v>
      </c>
      <c r="D52">
        <f>Opti[[#This Row],[nb contraintes]]*Opti[[#This Row],[domaine max]]*Opti[[#This Row],[domaine max]]</f>
        <v>235984</v>
      </c>
      <c r="E52">
        <v>9</v>
      </c>
      <c r="F52">
        <v>9</v>
      </c>
      <c r="G52">
        <v>9</v>
      </c>
      <c r="H52" t="b">
        <v>1</v>
      </c>
      <c r="I52">
        <v>0.78102946281433105</v>
      </c>
      <c r="J52">
        <v>1</v>
      </c>
      <c r="K52" t="s">
        <v>226</v>
      </c>
      <c r="L52">
        <v>3.2437086105346603E-2</v>
      </c>
      <c r="M52" t="s">
        <v>127</v>
      </c>
      <c r="N52">
        <v>9</v>
      </c>
      <c r="O52" t="b">
        <v>1</v>
      </c>
      <c r="P52">
        <v>0.74707770347595204</v>
      </c>
      <c r="Q52">
        <v>1</v>
      </c>
      <c r="R52" t="s">
        <v>227</v>
      </c>
      <c r="S52">
        <v>2.79467105865478E-2</v>
      </c>
      <c r="T52" t="s">
        <v>127</v>
      </c>
      <c r="U52">
        <v>9</v>
      </c>
      <c r="V52" t="b">
        <v>1</v>
      </c>
      <c r="W52">
        <v>0.94795131683349598</v>
      </c>
      <c r="X52">
        <v>1</v>
      </c>
      <c r="Y52" t="s">
        <v>228</v>
      </c>
      <c r="Z52">
        <v>0.13798761367797799</v>
      </c>
      <c r="AA52" t="s">
        <v>127</v>
      </c>
      <c r="AB52">
        <v>9</v>
      </c>
      <c r="AC52" t="b">
        <v>1</v>
      </c>
      <c r="AD52">
        <v>0.83687162399291903</v>
      </c>
      <c r="AE52">
        <v>1</v>
      </c>
      <c r="AF52" t="s">
        <v>455</v>
      </c>
      <c r="AG52">
        <v>7.4953794479370103E-2</v>
      </c>
      <c r="AH52" t="s">
        <v>127</v>
      </c>
      <c r="AI52" t="s">
        <v>403</v>
      </c>
      <c r="AJ52">
        <v>0</v>
      </c>
      <c r="AK52" t="b">
        <f>IF(Opti[[#This Row],[FC_AC_30_sans_clique_Solution]]&gt;0,TRUE,FALSE)</f>
        <v>0</v>
      </c>
      <c r="AL52">
        <v>600.45625805854797</v>
      </c>
      <c r="AM52">
        <v>2</v>
      </c>
      <c r="AN52" t="s">
        <v>557</v>
      </c>
      <c r="AO52">
        <v>600.00033426284699</v>
      </c>
      <c r="AP52" t="s">
        <v>521</v>
      </c>
      <c r="AQ52" t="s">
        <v>394</v>
      </c>
    </row>
    <row r="53" spans="1:43" x14ac:dyDescent="0.25">
      <c r="A53" t="s">
        <v>53</v>
      </c>
      <c r="B53">
        <v>235</v>
      </c>
      <c r="C53">
        <v>24</v>
      </c>
      <c r="D53">
        <f>Opti[[#This Row],[nb contraintes]]*Opti[[#This Row],[domaine max]]*Opti[[#This Row],[domaine max]]</f>
        <v>135360</v>
      </c>
      <c r="E53">
        <v>6</v>
      </c>
      <c r="F53">
        <v>2</v>
      </c>
      <c r="G53">
        <v>6</v>
      </c>
      <c r="H53" t="b">
        <v>0</v>
      </c>
      <c r="I53">
        <v>600.14593219757</v>
      </c>
      <c r="J53">
        <v>2</v>
      </c>
      <c r="K53" t="s">
        <v>299</v>
      </c>
      <c r="L53">
        <v>600.00819158553998</v>
      </c>
      <c r="M53" t="s">
        <v>145</v>
      </c>
      <c r="N53">
        <v>6</v>
      </c>
      <c r="O53" t="b">
        <v>0</v>
      </c>
      <c r="P53">
        <v>600.12956976890496</v>
      </c>
      <c r="Q53">
        <v>2</v>
      </c>
      <c r="R53" t="s">
        <v>300</v>
      </c>
      <c r="S53">
        <v>600.000310659408</v>
      </c>
      <c r="T53" t="s">
        <v>145</v>
      </c>
      <c r="U53">
        <v>6</v>
      </c>
      <c r="V53" t="b">
        <v>1</v>
      </c>
      <c r="W53">
        <v>291.325927734375</v>
      </c>
      <c r="X53">
        <v>2</v>
      </c>
      <c r="Y53" t="s">
        <v>301</v>
      </c>
      <c r="Z53">
        <v>291.175941705703</v>
      </c>
      <c r="AA53" t="s">
        <v>145</v>
      </c>
      <c r="AB53">
        <v>6</v>
      </c>
      <c r="AC53" t="b">
        <v>1</v>
      </c>
      <c r="AD53">
        <v>193.813194274902</v>
      </c>
      <c r="AE53">
        <v>2</v>
      </c>
      <c r="AF53" t="s">
        <v>478</v>
      </c>
      <c r="AG53">
        <v>193.68427395820601</v>
      </c>
      <c r="AH53" t="s">
        <v>145</v>
      </c>
      <c r="AI53" t="s">
        <v>425</v>
      </c>
      <c r="AJ53">
        <v>0</v>
      </c>
      <c r="AK53" t="b">
        <f>IF(Opti[[#This Row],[FC_AC_30_sans_clique_Solution]]&gt;0,TRUE,FALSE)</f>
        <v>0</v>
      </c>
      <c r="AL53">
        <v>600.29130315780606</v>
      </c>
      <c r="AM53">
        <v>2</v>
      </c>
      <c r="AN53" t="s">
        <v>581</v>
      </c>
      <c r="AO53">
        <v>600.00048232078495</v>
      </c>
      <c r="AP53" t="s">
        <v>145</v>
      </c>
      <c r="AQ53" t="s">
        <v>537</v>
      </c>
    </row>
    <row r="54" spans="1:43" x14ac:dyDescent="0.25">
      <c r="A54" t="s">
        <v>42</v>
      </c>
      <c r="B54">
        <v>744</v>
      </c>
      <c r="C54">
        <v>17</v>
      </c>
      <c r="D54">
        <f>Opti[[#This Row],[nb contraintes]]*Opti[[#This Row],[domaine max]]*Opti[[#This Row],[domaine max]]</f>
        <v>215016</v>
      </c>
      <c r="E54">
        <v>8</v>
      </c>
      <c r="F54">
        <v>6</v>
      </c>
      <c r="G54">
        <v>8</v>
      </c>
      <c r="H54" t="b">
        <v>0</v>
      </c>
      <c r="I54">
        <v>602.01030135154701</v>
      </c>
      <c r="J54">
        <v>2</v>
      </c>
      <c r="K54" t="s">
        <v>268</v>
      </c>
      <c r="L54">
        <v>600.27410411834705</v>
      </c>
      <c r="M54" t="s">
        <v>137</v>
      </c>
      <c r="N54">
        <v>8</v>
      </c>
      <c r="O54" t="b">
        <v>0</v>
      </c>
      <c r="P54">
        <v>601.81138682365395</v>
      </c>
      <c r="Q54">
        <v>2</v>
      </c>
      <c r="R54" t="s">
        <v>269</v>
      </c>
      <c r="S54">
        <v>600.00082755088795</v>
      </c>
      <c r="T54" t="s">
        <v>137</v>
      </c>
      <c r="U54">
        <v>8</v>
      </c>
      <c r="V54" t="b">
        <v>1</v>
      </c>
      <c r="W54">
        <v>1.7766215801239</v>
      </c>
      <c r="X54">
        <v>2</v>
      </c>
      <c r="Y54" t="s">
        <v>270</v>
      </c>
      <c r="Z54">
        <v>1.09808444976806E-2</v>
      </c>
      <c r="AA54" t="s">
        <v>137</v>
      </c>
      <c r="AB54">
        <v>8</v>
      </c>
      <c r="AC54" t="b">
        <v>1</v>
      </c>
      <c r="AD54">
        <v>1.81765556335449</v>
      </c>
      <c r="AE54">
        <v>2</v>
      </c>
      <c r="AF54" t="s">
        <v>469</v>
      </c>
      <c r="AG54">
        <v>9.9906921386718698E-3</v>
      </c>
      <c r="AH54" t="s">
        <v>137</v>
      </c>
      <c r="AI54" t="s">
        <v>416</v>
      </c>
      <c r="AJ54">
        <v>0</v>
      </c>
      <c r="AK54" t="b">
        <f>IF(Opti[[#This Row],[FC_AC_30_sans_clique_Solution]]&gt;0,TRUE,FALSE)</f>
        <v>0</v>
      </c>
      <c r="AL54">
        <v>600.14100074767998</v>
      </c>
      <c r="AM54">
        <v>2</v>
      </c>
      <c r="AN54" t="s">
        <v>571</v>
      </c>
      <c r="AO54">
        <v>600.00008511543194</v>
      </c>
      <c r="AP54" t="s">
        <v>137</v>
      </c>
      <c r="AQ54" t="s">
        <v>389</v>
      </c>
    </row>
    <row r="55" spans="1:43" x14ac:dyDescent="0.25">
      <c r="A55" t="s">
        <v>21</v>
      </c>
      <c r="B55">
        <v>730</v>
      </c>
      <c r="C55">
        <v>24</v>
      </c>
      <c r="D55">
        <f>Opti[[#This Row],[nb contraintes]]*Opti[[#This Row],[domaine max]]*Opti[[#This Row],[domaine max]]</f>
        <v>420480</v>
      </c>
      <c r="E55" t="s">
        <v>16</v>
      </c>
      <c r="F55">
        <v>4</v>
      </c>
      <c r="G55">
        <v>5</v>
      </c>
      <c r="H55" t="b">
        <v>1</v>
      </c>
      <c r="I55">
        <v>56.118303537368703</v>
      </c>
      <c r="J55">
        <v>4</v>
      </c>
      <c r="K55" t="s">
        <v>196</v>
      </c>
      <c r="L55">
        <v>1.1538045406341499</v>
      </c>
      <c r="M55" t="s">
        <v>118</v>
      </c>
      <c r="N55">
        <v>6</v>
      </c>
      <c r="O55" t="b">
        <v>0</v>
      </c>
      <c r="P55">
        <v>601.94846129417397</v>
      </c>
      <c r="Q55">
        <v>3</v>
      </c>
      <c r="R55" t="s">
        <v>197</v>
      </c>
      <c r="S55">
        <v>600.00044918060303</v>
      </c>
      <c r="T55" t="s">
        <v>116</v>
      </c>
      <c r="U55">
        <v>5</v>
      </c>
      <c r="V55" t="b">
        <v>1</v>
      </c>
      <c r="W55">
        <v>3.5442082881927401</v>
      </c>
      <c r="X55">
        <v>3</v>
      </c>
      <c r="Y55" t="s">
        <v>198</v>
      </c>
      <c r="Z55">
        <v>1.4471530914306601E-2</v>
      </c>
      <c r="AA55" t="s">
        <v>170</v>
      </c>
      <c r="AB55">
        <v>5</v>
      </c>
      <c r="AC55" t="b">
        <v>1</v>
      </c>
      <c r="AD55">
        <v>2.9207694530486998</v>
      </c>
      <c r="AE55">
        <v>3</v>
      </c>
      <c r="AF55" t="s">
        <v>446</v>
      </c>
      <c r="AG55">
        <v>9.9921226501464792E-3</v>
      </c>
      <c r="AH55" t="s">
        <v>170</v>
      </c>
      <c r="AI55" t="s">
        <v>393</v>
      </c>
      <c r="AJ55">
        <v>5</v>
      </c>
      <c r="AK55" t="b">
        <f>IF(Opti[[#This Row],[FC_AC_30_sans_clique_Solution]]&gt;0,TRUE,FALSE)</f>
        <v>1</v>
      </c>
      <c r="AL55">
        <v>35.021268129348698</v>
      </c>
      <c r="AM55">
        <v>3</v>
      </c>
      <c r="AN55" t="s">
        <v>617</v>
      </c>
      <c r="AO55">
        <v>0.535846948623657</v>
      </c>
      <c r="AP55" t="s">
        <v>170</v>
      </c>
      <c r="AQ55" t="s">
        <v>618</v>
      </c>
    </row>
    <row r="56" spans="1:43" x14ac:dyDescent="0.25">
      <c r="A56" t="s">
        <v>62</v>
      </c>
      <c r="B56">
        <v>550</v>
      </c>
      <c r="C56">
        <v>20</v>
      </c>
      <c r="D56">
        <f>Opti[[#This Row],[nb contraintes]]*Opti[[#This Row],[domaine max]]*Opti[[#This Row],[domaine max]]</f>
        <v>220000</v>
      </c>
      <c r="E56">
        <v>6</v>
      </c>
      <c r="F56">
        <v>6</v>
      </c>
      <c r="G56">
        <v>7</v>
      </c>
      <c r="H56" t="b">
        <v>1</v>
      </c>
      <c r="I56">
        <v>0.50638222694396895</v>
      </c>
      <c r="J56">
        <v>4</v>
      </c>
      <c r="K56" t="s">
        <v>332</v>
      </c>
      <c r="L56">
        <v>4.9906015396118102E-2</v>
      </c>
      <c r="M56" t="s">
        <v>154</v>
      </c>
      <c r="N56">
        <v>7</v>
      </c>
      <c r="O56" t="b">
        <v>1</v>
      </c>
      <c r="P56">
        <v>0.52700543403625399</v>
      </c>
      <c r="Q56">
        <v>4</v>
      </c>
      <c r="R56" t="s">
        <v>333</v>
      </c>
      <c r="S56">
        <v>4.9406051635742097E-2</v>
      </c>
      <c r="T56" t="s">
        <v>154</v>
      </c>
      <c r="U56">
        <v>7</v>
      </c>
      <c r="V56" t="b">
        <v>1</v>
      </c>
      <c r="W56">
        <v>0.54894971847534102</v>
      </c>
      <c r="X56">
        <v>4</v>
      </c>
      <c r="Y56" t="s">
        <v>334</v>
      </c>
      <c r="Z56">
        <v>4.9905776977539E-2</v>
      </c>
      <c r="AA56" t="s">
        <v>154</v>
      </c>
      <c r="AB56">
        <v>7</v>
      </c>
      <c r="AC56" t="b">
        <v>1</v>
      </c>
      <c r="AD56">
        <v>0.36602401733398399</v>
      </c>
      <c r="AE56">
        <v>4</v>
      </c>
      <c r="AF56" t="s">
        <v>489</v>
      </c>
      <c r="AG56">
        <v>2.29849815368652E-2</v>
      </c>
      <c r="AH56" t="s">
        <v>154</v>
      </c>
      <c r="AI56" t="s">
        <v>434</v>
      </c>
      <c r="AJ56">
        <v>7</v>
      </c>
      <c r="AK56" t="b">
        <f>IF(Opti[[#This Row],[FC_AC_30_sans_clique_Solution]]&gt;0,TRUE,FALSE)</f>
        <v>1</v>
      </c>
      <c r="AL56">
        <v>7.8169872760772696</v>
      </c>
      <c r="AM56">
        <v>4</v>
      </c>
      <c r="AN56" t="s">
        <v>592</v>
      </c>
      <c r="AO56">
        <v>7.59912109375</v>
      </c>
      <c r="AP56" t="s">
        <v>154</v>
      </c>
      <c r="AQ56" t="s">
        <v>549</v>
      </c>
    </row>
    <row r="57" spans="1:43" x14ac:dyDescent="0.25">
      <c r="A57" t="s">
        <v>63</v>
      </c>
      <c r="B57">
        <v>922</v>
      </c>
      <c r="C57">
        <v>25</v>
      </c>
      <c r="D57">
        <f>Opti[[#This Row],[nb contraintes]]*Opti[[#This Row],[domaine max]]*Opti[[#This Row],[domaine max]]</f>
        <v>576250</v>
      </c>
      <c r="E57">
        <v>7</v>
      </c>
      <c r="F57">
        <v>6</v>
      </c>
      <c r="G57">
        <v>7</v>
      </c>
      <c r="H57" t="b">
        <v>1</v>
      </c>
      <c r="I57">
        <v>2.0034418106079102</v>
      </c>
      <c r="J57">
        <v>5</v>
      </c>
      <c r="K57" t="s">
        <v>335</v>
      </c>
      <c r="L57">
        <v>4.9829483032226497E-4</v>
      </c>
      <c r="M57" t="s">
        <v>155</v>
      </c>
      <c r="N57">
        <v>7</v>
      </c>
      <c r="O57" t="b">
        <v>1</v>
      </c>
      <c r="P57">
        <v>1.99720239639282</v>
      </c>
      <c r="Q57">
        <v>5</v>
      </c>
      <c r="R57" t="s">
        <v>336</v>
      </c>
      <c r="S57">
        <v>4.9781799316406196E-4</v>
      </c>
      <c r="T57" t="s">
        <v>155</v>
      </c>
      <c r="U57">
        <v>7</v>
      </c>
      <c r="V57" t="b">
        <v>1</v>
      </c>
      <c r="W57">
        <v>3.0597546100616402</v>
      </c>
      <c r="X57">
        <v>5</v>
      </c>
      <c r="Y57" t="s">
        <v>337</v>
      </c>
      <c r="Z57">
        <v>1.6467571258544901E-2</v>
      </c>
      <c r="AA57" t="s">
        <v>155</v>
      </c>
      <c r="AB57">
        <v>7</v>
      </c>
      <c r="AC57" t="b">
        <v>1</v>
      </c>
      <c r="AD57">
        <v>1.52778649330139</v>
      </c>
      <c r="AE57">
        <v>5</v>
      </c>
      <c r="AF57" t="s">
        <v>490</v>
      </c>
      <c r="AG57">
        <v>1.7989873886108398E-2</v>
      </c>
      <c r="AH57" t="s">
        <v>155</v>
      </c>
      <c r="AI57" t="s">
        <v>435</v>
      </c>
      <c r="AJ57">
        <v>7</v>
      </c>
      <c r="AK57" t="b">
        <f>IF(Opti[[#This Row],[FC_AC_30_sans_clique_Solution]]&gt;0,TRUE,FALSE)</f>
        <v>1</v>
      </c>
      <c r="AL57">
        <v>0.64580774307250899</v>
      </c>
      <c r="AM57">
        <v>5</v>
      </c>
      <c r="AN57" t="s">
        <v>593</v>
      </c>
      <c r="AO57">
        <v>0.156903982162475</v>
      </c>
      <c r="AP57" t="s">
        <v>155</v>
      </c>
      <c r="AQ57" t="s">
        <v>550</v>
      </c>
    </row>
    <row r="58" spans="1:43" x14ac:dyDescent="0.25">
      <c r="A58" t="s">
        <v>52</v>
      </c>
      <c r="B58">
        <v>70</v>
      </c>
      <c r="C58">
        <v>12</v>
      </c>
      <c r="D58">
        <f>Opti[[#This Row],[nb contraintes]]*Opti[[#This Row],[domaine max]]*Opti[[#This Row],[domaine max]]</f>
        <v>10080</v>
      </c>
      <c r="E58">
        <v>5</v>
      </c>
      <c r="F58">
        <v>2</v>
      </c>
      <c r="G58">
        <v>5</v>
      </c>
      <c r="H58" t="b">
        <v>1</v>
      </c>
      <c r="I58">
        <v>0.177162170410156</v>
      </c>
      <c r="J58">
        <v>2</v>
      </c>
      <c r="K58" t="s">
        <v>296</v>
      </c>
      <c r="L58">
        <v>0.154203176498413</v>
      </c>
      <c r="M58" t="s">
        <v>144</v>
      </c>
      <c r="N58">
        <v>5</v>
      </c>
      <c r="O58" t="b">
        <v>1</v>
      </c>
      <c r="P58">
        <v>0.19213604927062899</v>
      </c>
      <c r="Q58">
        <v>2</v>
      </c>
      <c r="R58" t="s">
        <v>297</v>
      </c>
      <c r="S58">
        <v>0.156204938888549</v>
      </c>
      <c r="T58" t="s">
        <v>144</v>
      </c>
      <c r="U58">
        <v>5</v>
      </c>
      <c r="V58" t="b">
        <v>1</v>
      </c>
      <c r="W58">
        <v>7.5855016708373996E-2</v>
      </c>
      <c r="X58">
        <v>2</v>
      </c>
      <c r="Y58" t="s">
        <v>298</v>
      </c>
      <c r="Z58">
        <v>4.9402952194213798E-2</v>
      </c>
      <c r="AA58" t="s">
        <v>144</v>
      </c>
      <c r="AB58">
        <v>5</v>
      </c>
      <c r="AC58" t="b">
        <v>1</v>
      </c>
      <c r="AD58">
        <v>6.4959049224853502E-2</v>
      </c>
      <c r="AE58">
        <v>2</v>
      </c>
      <c r="AF58" t="s">
        <v>477</v>
      </c>
      <c r="AG58">
        <v>3.59766483306884E-2</v>
      </c>
      <c r="AH58" t="s">
        <v>144</v>
      </c>
      <c r="AI58" t="s">
        <v>424</v>
      </c>
      <c r="AJ58">
        <v>5</v>
      </c>
      <c r="AK58" t="b">
        <f>IF(Opti[[#This Row],[FC_AC_30_sans_clique_Solution]]&gt;0,TRUE,FALSE)</f>
        <v>1</v>
      </c>
      <c r="AL58">
        <v>0.55292701721191395</v>
      </c>
      <c r="AM58">
        <v>2</v>
      </c>
      <c r="AN58" t="s">
        <v>580</v>
      </c>
      <c r="AO58">
        <v>0.54293346405029297</v>
      </c>
      <c r="AP58" t="s">
        <v>144</v>
      </c>
      <c r="AQ58" t="s">
        <v>536</v>
      </c>
    </row>
    <row r="59" spans="1:43" x14ac:dyDescent="0.25">
      <c r="A59" t="s">
        <v>22</v>
      </c>
      <c r="B59">
        <v>75</v>
      </c>
      <c r="C59">
        <v>14</v>
      </c>
      <c r="D59">
        <f>Opti[[#This Row],[nb contraintes]]*Opti[[#This Row],[domaine max]]*Opti[[#This Row],[domaine max]]</f>
        <v>14700</v>
      </c>
      <c r="E59" t="s">
        <v>16</v>
      </c>
      <c r="F59">
        <v>5</v>
      </c>
      <c r="G59">
        <v>6</v>
      </c>
      <c r="H59" t="b">
        <v>1</v>
      </c>
      <c r="I59">
        <v>0.10679578781127901</v>
      </c>
      <c r="J59">
        <v>3</v>
      </c>
      <c r="K59" t="s">
        <v>199</v>
      </c>
      <c r="L59">
        <v>2.4938583374023398E-3</v>
      </c>
      <c r="M59" t="s">
        <v>116</v>
      </c>
      <c r="N59">
        <v>6</v>
      </c>
      <c r="O59" t="b">
        <v>1</v>
      </c>
      <c r="P59">
        <v>0.14073300361633301</v>
      </c>
      <c r="Q59">
        <v>3</v>
      </c>
      <c r="R59" t="s">
        <v>200</v>
      </c>
      <c r="S59">
        <v>2.4938583374023398E-3</v>
      </c>
      <c r="T59" t="s">
        <v>116</v>
      </c>
      <c r="U59">
        <v>6</v>
      </c>
      <c r="V59" t="b">
        <v>1</v>
      </c>
      <c r="W59">
        <v>5.38983345031738E-2</v>
      </c>
      <c r="X59">
        <v>2</v>
      </c>
      <c r="Y59" t="s">
        <v>201</v>
      </c>
      <c r="Z59">
        <v>1.4970302581787101E-3</v>
      </c>
      <c r="AA59" t="s">
        <v>145</v>
      </c>
      <c r="AB59">
        <v>6</v>
      </c>
      <c r="AC59" t="b">
        <v>1</v>
      </c>
      <c r="AD59">
        <v>4.8970222473144497E-2</v>
      </c>
      <c r="AE59">
        <v>2</v>
      </c>
      <c r="AF59" t="s">
        <v>447</v>
      </c>
      <c r="AG59">
        <v>9.99212265014648E-4</v>
      </c>
      <c r="AH59" t="s">
        <v>145</v>
      </c>
      <c r="AI59" t="s">
        <v>394</v>
      </c>
      <c r="AJ59">
        <v>6</v>
      </c>
      <c r="AK59" t="b">
        <f>IF(Opti[[#This Row],[FC_AC_30_sans_clique_Solution]]&gt;0,TRUE,FALSE)</f>
        <v>1</v>
      </c>
      <c r="AL59">
        <v>6.9168329238891602E-2</v>
      </c>
      <c r="AM59">
        <v>2</v>
      </c>
      <c r="AN59" t="s">
        <v>619</v>
      </c>
      <c r="AO59">
        <v>2.81925201416015E-2</v>
      </c>
      <c r="AP59" t="s">
        <v>145</v>
      </c>
      <c r="AQ59" t="s">
        <v>620</v>
      </c>
    </row>
    <row r="60" spans="1:43" x14ac:dyDescent="0.25">
      <c r="A60" t="s">
        <v>61</v>
      </c>
      <c r="B60">
        <v>300</v>
      </c>
      <c r="C60">
        <v>17</v>
      </c>
      <c r="D60">
        <f>Opti[[#This Row],[nb contraintes]]*Opti[[#This Row],[domaine max]]*Opti[[#This Row],[domaine max]]</f>
        <v>86700</v>
      </c>
      <c r="E60">
        <v>5</v>
      </c>
      <c r="F60">
        <v>5</v>
      </c>
      <c r="G60">
        <v>5</v>
      </c>
      <c r="H60" t="b">
        <v>1</v>
      </c>
      <c r="I60">
        <v>5.3896427154541002E-2</v>
      </c>
      <c r="J60">
        <v>2</v>
      </c>
      <c r="K60" t="s">
        <v>329</v>
      </c>
      <c r="L60">
        <v>1.4967918395996001E-3</v>
      </c>
      <c r="M60" t="s">
        <v>153</v>
      </c>
      <c r="N60">
        <v>5</v>
      </c>
      <c r="O60" t="b">
        <v>1</v>
      </c>
      <c r="P60">
        <v>7.58514404296875E-2</v>
      </c>
      <c r="Q60">
        <v>2</v>
      </c>
      <c r="R60" t="s">
        <v>330</v>
      </c>
      <c r="S60">
        <v>1.9950866699218698E-3</v>
      </c>
      <c r="T60" t="s">
        <v>153</v>
      </c>
      <c r="U60">
        <v>5</v>
      </c>
      <c r="V60" t="b">
        <v>1</v>
      </c>
      <c r="W60">
        <v>6.2880992889404297E-2</v>
      </c>
      <c r="X60">
        <v>1</v>
      </c>
      <c r="Y60" t="s">
        <v>331</v>
      </c>
      <c r="Z60">
        <v>2.39527225494384E-2</v>
      </c>
      <c r="AA60" t="s">
        <v>182</v>
      </c>
      <c r="AB60">
        <v>5</v>
      </c>
      <c r="AC60" t="b">
        <v>1</v>
      </c>
      <c r="AD60">
        <v>4.5970678329467697E-2</v>
      </c>
      <c r="AE60">
        <v>1</v>
      </c>
      <c r="AF60" t="s">
        <v>488</v>
      </c>
      <c r="AG60">
        <v>1.4992713928222601E-2</v>
      </c>
      <c r="AH60" t="s">
        <v>182</v>
      </c>
      <c r="AI60" t="s">
        <v>433</v>
      </c>
      <c r="AJ60">
        <v>5</v>
      </c>
      <c r="AK60" t="b">
        <f>IF(Opti[[#This Row],[FC_AC_30_sans_clique_Solution]]&gt;0,TRUE,FALSE)</f>
        <v>1</v>
      </c>
      <c r="AL60">
        <v>4.7971725463867097E-2</v>
      </c>
      <c r="AM60">
        <v>2</v>
      </c>
      <c r="AN60" t="s">
        <v>591</v>
      </c>
      <c r="AO60">
        <v>3.9973258972167899E-3</v>
      </c>
      <c r="AP60" t="s">
        <v>144</v>
      </c>
      <c r="AQ60" t="s">
        <v>548</v>
      </c>
    </row>
    <row r="61" spans="1:43" x14ac:dyDescent="0.25">
      <c r="A61" t="s">
        <v>51</v>
      </c>
      <c r="B61">
        <v>19</v>
      </c>
      <c r="C61">
        <v>6</v>
      </c>
      <c r="D61">
        <f>Opti[[#This Row],[nb contraintes]]*Opti[[#This Row],[domaine max]]*Opti[[#This Row],[domaine max]]</f>
        <v>684</v>
      </c>
      <c r="E61">
        <v>4</v>
      </c>
      <c r="F61">
        <v>2</v>
      </c>
      <c r="G61">
        <v>4</v>
      </c>
      <c r="H61" t="b">
        <v>1</v>
      </c>
      <c r="I61">
        <v>7.4827671051025304E-3</v>
      </c>
      <c r="J61">
        <v>2</v>
      </c>
      <c r="K61" t="s">
        <v>293</v>
      </c>
      <c r="L61">
        <v>9.9778175354003906E-4</v>
      </c>
      <c r="M61" t="s">
        <v>143</v>
      </c>
      <c r="N61">
        <v>4</v>
      </c>
      <c r="O61" t="b">
        <v>1</v>
      </c>
      <c r="P61">
        <v>1.49717330932617E-2</v>
      </c>
      <c r="Q61">
        <v>2</v>
      </c>
      <c r="R61" t="s">
        <v>294</v>
      </c>
      <c r="S61">
        <v>1.4965534210205E-3</v>
      </c>
      <c r="T61" t="s">
        <v>143</v>
      </c>
      <c r="U61">
        <v>4</v>
      </c>
      <c r="V61" t="b">
        <v>1</v>
      </c>
      <c r="W61">
        <v>9.4840526580810495E-3</v>
      </c>
      <c r="X61">
        <v>2</v>
      </c>
      <c r="Y61" t="s">
        <v>295</v>
      </c>
      <c r="Z61">
        <v>9.9802017211913997E-4</v>
      </c>
      <c r="AA61" t="s">
        <v>143</v>
      </c>
      <c r="AB61">
        <v>4</v>
      </c>
      <c r="AC61" t="b">
        <v>1</v>
      </c>
      <c r="AD61">
        <v>5.9962272644042899E-3</v>
      </c>
      <c r="AE61">
        <v>2</v>
      </c>
      <c r="AF61" t="s">
        <v>292</v>
      </c>
      <c r="AG61">
        <v>0</v>
      </c>
      <c r="AH61" t="s">
        <v>143</v>
      </c>
      <c r="AI61" t="s">
        <v>161</v>
      </c>
      <c r="AJ61">
        <v>4</v>
      </c>
      <c r="AK61" t="b">
        <f>IF(Opti[[#This Row],[FC_AC_30_sans_clique_Solution]]&gt;0,TRUE,FALSE)</f>
        <v>1</v>
      </c>
      <c r="AL61">
        <v>7.9946517944335903E-3</v>
      </c>
      <c r="AM61">
        <v>2</v>
      </c>
      <c r="AN61" t="s">
        <v>579</v>
      </c>
      <c r="AO61">
        <v>2.9978752136230399E-3</v>
      </c>
      <c r="AP61" t="s">
        <v>143</v>
      </c>
      <c r="AQ61" t="s">
        <v>535</v>
      </c>
    </row>
    <row r="62" spans="1:43" x14ac:dyDescent="0.25">
      <c r="A62" t="s">
        <v>50</v>
      </c>
      <c r="B62">
        <v>4</v>
      </c>
      <c r="C62">
        <v>1</v>
      </c>
      <c r="D62">
        <f>Opti[[#This Row],[nb contraintes]]*Opti[[#This Row],[domaine max]]*Opti[[#This Row],[domaine max]]</f>
        <v>4</v>
      </c>
      <c r="E62">
        <v>3</v>
      </c>
      <c r="F62">
        <v>2</v>
      </c>
      <c r="G62">
        <v>3</v>
      </c>
      <c r="H62" t="b">
        <v>1</v>
      </c>
      <c r="I62">
        <v>2.9935836791992101E-3</v>
      </c>
      <c r="J62">
        <v>2</v>
      </c>
      <c r="K62" t="s">
        <v>292</v>
      </c>
      <c r="L62">
        <v>0</v>
      </c>
      <c r="M62" t="s">
        <v>142</v>
      </c>
      <c r="N62">
        <v>3</v>
      </c>
      <c r="O62" t="b">
        <v>1</v>
      </c>
      <c r="P62">
        <v>1.39582157135009E-2</v>
      </c>
      <c r="Q62">
        <v>2</v>
      </c>
      <c r="R62" t="s">
        <v>292</v>
      </c>
      <c r="S62">
        <v>0</v>
      </c>
      <c r="T62" t="s">
        <v>142</v>
      </c>
      <c r="U62">
        <v>3</v>
      </c>
      <c r="V62" t="b">
        <v>1</v>
      </c>
      <c r="W62">
        <v>4.48966026306152E-3</v>
      </c>
      <c r="X62">
        <v>2</v>
      </c>
      <c r="Y62" t="s">
        <v>292</v>
      </c>
      <c r="Z62">
        <v>0</v>
      </c>
      <c r="AA62" t="s">
        <v>142</v>
      </c>
      <c r="AB62">
        <v>3</v>
      </c>
      <c r="AC62" t="b">
        <v>1</v>
      </c>
      <c r="AD62">
        <v>2.9990673065185499E-3</v>
      </c>
      <c r="AE62">
        <v>2</v>
      </c>
      <c r="AF62" t="s">
        <v>292</v>
      </c>
      <c r="AG62">
        <v>0</v>
      </c>
      <c r="AH62" t="s">
        <v>142</v>
      </c>
      <c r="AI62" t="s">
        <v>142</v>
      </c>
      <c r="AJ62">
        <v>3</v>
      </c>
      <c r="AK62" t="b">
        <f>IF(Opti[[#This Row],[FC_AC_30_sans_clique_Solution]]&gt;0,TRUE,FALSE)</f>
        <v>1</v>
      </c>
      <c r="AL62">
        <v>1.9993782043457001E-3</v>
      </c>
      <c r="AM62">
        <v>2</v>
      </c>
      <c r="AN62" t="s">
        <v>292</v>
      </c>
      <c r="AO62">
        <v>0</v>
      </c>
      <c r="AP62" t="s">
        <v>142</v>
      </c>
      <c r="AQ62" t="s">
        <v>144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B994-B685-4BB2-B8BB-B620001EA06A}">
  <dimension ref="A1:X60"/>
  <sheetViews>
    <sheetView workbookViewId="0">
      <selection activeCell="A23" sqref="A23"/>
    </sheetView>
  </sheetViews>
  <sheetFormatPr baseColWidth="10" defaultColWidth="11.5703125" defaultRowHeight="15" x14ac:dyDescent="0.25"/>
  <sheetData>
    <row r="1" spans="1:24" ht="45" x14ac:dyDescent="0.25">
      <c r="C1" t="s">
        <v>513</v>
      </c>
      <c r="D1" s="1" t="s">
        <v>514</v>
      </c>
      <c r="I1" t="s">
        <v>378</v>
      </c>
      <c r="J1" t="s">
        <v>513</v>
      </c>
      <c r="K1" s="1" t="s">
        <v>514</v>
      </c>
      <c r="M1" t="s">
        <v>379</v>
      </c>
      <c r="N1" t="s">
        <v>513</v>
      </c>
      <c r="O1" s="1" t="s">
        <v>514</v>
      </c>
    </row>
    <row r="2" spans="1:24" ht="60" x14ac:dyDescent="0.25">
      <c r="A2" t="s">
        <v>5</v>
      </c>
      <c r="B2" t="s">
        <v>6</v>
      </c>
      <c r="C2" t="s">
        <v>513</v>
      </c>
      <c r="D2" s="1" t="s">
        <v>75</v>
      </c>
      <c r="E2" t="s">
        <v>14</v>
      </c>
      <c r="G2" t="s">
        <v>104</v>
      </c>
      <c r="H2" t="s">
        <v>7</v>
      </c>
      <c r="I2" t="s">
        <v>6</v>
      </c>
      <c r="J2" t="s">
        <v>513</v>
      </c>
      <c r="K2" s="1" t="s">
        <v>75</v>
      </c>
      <c r="L2" t="s">
        <v>14</v>
      </c>
      <c r="M2" t="s">
        <v>6</v>
      </c>
      <c r="N2" t="s">
        <v>513</v>
      </c>
      <c r="O2" s="1" t="s">
        <v>75</v>
      </c>
      <c r="P2" t="s">
        <v>14</v>
      </c>
      <c r="S2" t="s">
        <v>15</v>
      </c>
      <c r="T2" t="s">
        <v>380</v>
      </c>
      <c r="V2" t="s">
        <v>5</v>
      </c>
      <c r="W2" s="1" t="s">
        <v>75</v>
      </c>
      <c r="X2" s="1" t="s">
        <v>636</v>
      </c>
    </row>
    <row r="3" spans="1:24" x14ac:dyDescent="0.25">
      <c r="A3">
        <v>0</v>
      </c>
      <c r="B3">
        <f>COUNTIFS(Opti[FC_Opt_trouvé],"=VRAI",Opti[FC_Temps],"&lt;="&amp;$A3)</f>
        <v>0</v>
      </c>
      <c r="C3">
        <f>COUNTIFS(Opti[FC_AC_Opt_trouvé],"=VRAI",Opti[FC_AC_Temps],"&lt;="&amp;$A3)</f>
        <v>0</v>
      </c>
      <c r="D3">
        <f>COUNTIFS(Opti[FC_AC_30_Opt_trouvé],"=VRAI",Opti[FC_AC_30_Temps],"&lt;="&amp;$A3)</f>
        <v>0</v>
      </c>
      <c r="E3">
        <f>COUNTIFS(Opti[DS_Opt_trouvé],"=VRAI",Opti[DS_Temps],"&lt;="&amp;$A3)</f>
        <v>0</v>
      </c>
      <c r="G3">
        <f>VLOOKUP($H3,Opti[],4,FALSE)</f>
        <v>4</v>
      </c>
      <c r="H3" t="s">
        <v>50</v>
      </c>
      <c r="I3">
        <f>VLOOKUP($H3,Opti[],19,FALSE)</f>
        <v>0</v>
      </c>
      <c r="J3">
        <f>VLOOKUP($H3,Opti[],26,FALSE)</f>
        <v>0</v>
      </c>
      <c r="K3">
        <f>VLOOKUP($H3,Opti[],33,FALSE)</f>
        <v>0</v>
      </c>
      <c r="L3">
        <f>VLOOKUP($H3,Opti[],12,FALSE)</f>
        <v>0</v>
      </c>
      <c r="M3">
        <f>VLOOKUP($H3,Opti[],17,FALSE)</f>
        <v>2</v>
      </c>
      <c r="N3">
        <f>VLOOKUP($H3,Opti[],24,FALSE)</f>
        <v>2</v>
      </c>
      <c r="O3">
        <f>VLOOKUP($H3,Opti[],31,FALSE)</f>
        <v>2</v>
      </c>
      <c r="P3">
        <f>VLOOKUP($H3,Opti[],10,FALSE)</f>
        <v>2</v>
      </c>
      <c r="R3" t="s">
        <v>50</v>
      </c>
      <c r="S3">
        <f>VLOOKUP(R3,Graphes[],2,FALSE)</f>
        <v>3</v>
      </c>
      <c r="T3">
        <f>VLOOKUP(R3,Graphes[],6,FALSE)</f>
        <v>2</v>
      </c>
      <c r="V3">
        <v>0</v>
      </c>
      <c r="W3">
        <f>COUNTIFS(Opti[FC_AC_30_Opt_trouvé],"=VRAI",Opti[FC_AC_30_Temps],"&lt;="&amp;$V3)</f>
        <v>0</v>
      </c>
      <c r="X3">
        <f>COUNTIFS(Opti[FC_AC_30_sans_clique_Opt_trouvé],"=VRAI",Opti[FC_AC_30_sans_clique_Temps],"&lt;="&amp;$V3)</f>
        <v>0</v>
      </c>
    </row>
    <row r="4" spans="1:24" x14ac:dyDescent="0.25">
      <c r="A4">
        <v>0.1</v>
      </c>
      <c r="B4">
        <f>COUNTIFS(Opti[FC_Opt_trouvé],"=VRAI",Opti[FC_Temps],"&lt;="&amp;$A4)</f>
        <v>3</v>
      </c>
      <c r="C4">
        <f>COUNTIFS(Opti[FC_AC_Opt_trouvé],"=VRAI",Opti[FC_AC_Temps],"&lt;="&amp;$A4)</f>
        <v>5</v>
      </c>
      <c r="D4">
        <f>COUNTIFS(Opti[FC_AC_30_Opt_trouvé],"=VRAI",Opti[FC_AC_30_Temps],"&lt;="&amp;$A4)</f>
        <v>5</v>
      </c>
      <c r="E4">
        <f>COUNTIFS(Opti[DS_Opt_trouvé],"=VRAI",Opti[DS_Temps],"&lt;="&amp;$A4)</f>
        <v>3</v>
      </c>
      <c r="G4">
        <f>VLOOKUP($H4,Opti[],4,FALSE)</f>
        <v>684</v>
      </c>
      <c r="H4" t="s">
        <v>51</v>
      </c>
      <c r="I4">
        <f>VLOOKUP($H4,Opti[],19,FALSE)</f>
        <v>1.4965534210205E-3</v>
      </c>
      <c r="J4">
        <f>VLOOKUP($H4,Opti[],26,FALSE)</f>
        <v>9.9802017211913997E-4</v>
      </c>
      <c r="K4">
        <f>VLOOKUP($H4,Opti[],33,FALSE)</f>
        <v>0</v>
      </c>
      <c r="L4">
        <f>VLOOKUP($H4,Opti[],12,FALSE)</f>
        <v>9.9778175354003906E-4</v>
      </c>
      <c r="M4">
        <f>VLOOKUP($H4,Opti[],17,FALSE)</f>
        <v>2</v>
      </c>
      <c r="N4">
        <f>VLOOKUP($H4,Opti[],24,FALSE)</f>
        <v>2</v>
      </c>
      <c r="O4">
        <f>VLOOKUP($H4,Opti[],31,FALSE)</f>
        <v>2</v>
      </c>
      <c r="P4">
        <f>VLOOKUP($H4,Opti[],10,FALSE)</f>
        <v>2</v>
      </c>
      <c r="R4" t="s">
        <v>51</v>
      </c>
      <c r="S4">
        <f>VLOOKUP(R4,Graphes[],2,FALSE)</f>
        <v>4</v>
      </c>
      <c r="T4">
        <f>VLOOKUP(R4,Graphes[],6,FALSE)</f>
        <v>2</v>
      </c>
      <c r="V4">
        <v>0.1</v>
      </c>
      <c r="W4">
        <f>COUNTIFS(Opti[FC_AC_30_Opt_trouvé],"=VRAI",Opti[FC_AC_30_Temps],"&lt;="&amp;$V4)</f>
        <v>5</v>
      </c>
      <c r="X4">
        <f>COUNTIFS(Opti[FC_AC_30_sans_clique_Opt_trouvé],"=VRAI",Opti[FC_AC_30_sans_clique_Temps],"&lt;="&amp;$V4)</f>
        <v>4</v>
      </c>
    </row>
    <row r="5" spans="1:24" x14ac:dyDescent="0.25">
      <c r="A5">
        <v>0.2</v>
      </c>
      <c r="B5">
        <f>COUNTIFS(Opti[FC_Opt_trouvé],"=VRAI",Opti[FC_Temps],"&lt;="&amp;$A5)</f>
        <v>5</v>
      </c>
      <c r="C5">
        <f>COUNTIFS(Opti[FC_AC_Opt_trouvé],"=VRAI",Opti[FC_AC_Temps],"&lt;="&amp;$A5)</f>
        <v>5</v>
      </c>
      <c r="D5">
        <f>COUNTIFS(Opti[FC_AC_30_Opt_trouvé],"=VRAI",Opti[FC_AC_30_Temps],"&lt;="&amp;$A5)</f>
        <v>5</v>
      </c>
      <c r="E5">
        <f>COUNTIFS(Opti[DS_Opt_trouvé],"=VRAI",Opti[DS_Temps],"&lt;="&amp;$A5)</f>
        <v>5</v>
      </c>
      <c r="G5">
        <f>VLOOKUP($H5,Opti[],4,FALSE)</f>
        <v>10080</v>
      </c>
      <c r="H5" t="s">
        <v>52</v>
      </c>
      <c r="I5">
        <f>VLOOKUP($H5,Opti[],19,FALSE)</f>
        <v>0.156204938888549</v>
      </c>
      <c r="J5">
        <f>VLOOKUP($H5,Opti[],26,FALSE)</f>
        <v>4.9402952194213798E-2</v>
      </c>
      <c r="K5">
        <f>VLOOKUP($H5,Opti[],33,FALSE)</f>
        <v>3.59766483306884E-2</v>
      </c>
      <c r="L5">
        <f>VLOOKUP($H5,Opti[],12,FALSE)</f>
        <v>0.154203176498413</v>
      </c>
      <c r="M5">
        <f>VLOOKUP($H5,Opti[],17,FALSE)</f>
        <v>2</v>
      </c>
      <c r="N5">
        <f>VLOOKUP($H5,Opti[],24,FALSE)</f>
        <v>2</v>
      </c>
      <c r="O5">
        <f>VLOOKUP($H5,Opti[],31,FALSE)</f>
        <v>2</v>
      </c>
      <c r="P5">
        <f>VLOOKUP($H5,Opti[],10,FALSE)</f>
        <v>2</v>
      </c>
      <c r="R5" t="s">
        <v>52</v>
      </c>
      <c r="S5">
        <f>VLOOKUP(R5,Graphes[],2,FALSE)</f>
        <v>5</v>
      </c>
      <c r="T5">
        <f>VLOOKUP(R5,Graphes[],6,FALSE)</f>
        <v>2</v>
      </c>
      <c r="V5">
        <v>0.4</v>
      </c>
      <c r="W5">
        <f>COUNTIFS(Opti[FC_AC_30_Opt_trouvé],"=VRAI",Opti[FC_AC_30_Temps],"&lt;="&amp;$V5)</f>
        <v>7</v>
      </c>
      <c r="X5">
        <f>COUNTIFS(Opti[FC_AC_30_sans_clique_Opt_trouvé],"=VRAI",Opti[FC_AC_30_sans_clique_Temps],"&lt;="&amp;$V5)</f>
        <v>4</v>
      </c>
    </row>
    <row r="6" spans="1:24" x14ac:dyDescent="0.25">
      <c r="A6">
        <v>0.4</v>
      </c>
      <c r="B6">
        <f>COUNTIFS(Opti[FC_Opt_trouvé],"=VRAI",Opti[FC_Temps],"&lt;="&amp;$A6)</f>
        <v>5</v>
      </c>
      <c r="C6">
        <f>COUNTIFS(Opti[FC_AC_Opt_trouvé],"=VRAI",Opti[FC_AC_Temps],"&lt;="&amp;$A6)</f>
        <v>6</v>
      </c>
      <c r="D6">
        <f>COUNTIFS(Opti[FC_AC_30_Opt_trouvé],"=VRAI",Opti[FC_AC_30_Temps],"&lt;="&amp;$A6)</f>
        <v>7</v>
      </c>
      <c r="E6">
        <f>COUNTIFS(Opti[DS_Opt_trouvé],"=VRAI",Opti[DS_Temps],"&lt;="&amp;$A6)</f>
        <v>5</v>
      </c>
      <c r="G6">
        <f>VLOOKUP($H6,Opti[],4,FALSE)</f>
        <v>14700</v>
      </c>
      <c r="H6" t="s">
        <v>22</v>
      </c>
      <c r="I6">
        <f>VLOOKUP($H6,Opti[],19,FALSE)</f>
        <v>2.4938583374023398E-3</v>
      </c>
      <c r="J6">
        <f>VLOOKUP($H6,Opti[],26,FALSE)</f>
        <v>1.4970302581787101E-3</v>
      </c>
      <c r="K6">
        <f>VLOOKUP($H6,Opti[],33,FALSE)</f>
        <v>9.99212265014648E-4</v>
      </c>
      <c r="L6">
        <f>VLOOKUP($H6,Opti[],12,FALSE)</f>
        <v>2.4938583374023398E-3</v>
      </c>
      <c r="M6">
        <f>VLOOKUP($H6,Opti[],17,FALSE)</f>
        <v>3</v>
      </c>
      <c r="N6">
        <f>VLOOKUP($H6,Opti[],24,FALSE)</f>
        <v>2</v>
      </c>
      <c r="O6">
        <f>VLOOKUP($H6,Opti[],31,FALSE)</f>
        <v>2</v>
      </c>
      <c r="P6">
        <f>VLOOKUP($H6,Opti[],10,FALSE)</f>
        <v>3</v>
      </c>
      <c r="R6" t="s">
        <v>22</v>
      </c>
      <c r="S6" t="str">
        <f>VLOOKUP(R6,Graphes[],2,FALSE)</f>
        <v>?</v>
      </c>
      <c r="T6">
        <f>VLOOKUP(R6,Graphes[],6,FALSE)</f>
        <v>5</v>
      </c>
      <c r="V6">
        <v>0.6</v>
      </c>
      <c r="W6">
        <f>COUNTIFS(Opti[FC_AC_30_Opt_trouvé],"=VRAI",Opti[FC_AC_30_Temps],"&lt;="&amp;$V6)</f>
        <v>7</v>
      </c>
      <c r="X6">
        <f>COUNTIFS(Opti[FC_AC_30_sans_clique_Opt_trouvé],"=VRAI",Opti[FC_AC_30_sans_clique_Temps],"&lt;="&amp;$V6)</f>
        <v>5</v>
      </c>
    </row>
    <row r="7" spans="1:24" x14ac:dyDescent="0.25">
      <c r="A7">
        <v>0.6</v>
      </c>
      <c r="B7">
        <f>COUNTIFS(Opti[FC_Opt_trouvé],"=VRAI",Opti[FC_Temps],"&lt;="&amp;$A7)</f>
        <v>6</v>
      </c>
      <c r="C7">
        <f>COUNTIFS(Opti[FC_AC_Opt_trouvé],"=VRAI",Opti[FC_AC_Temps],"&lt;="&amp;$A7)</f>
        <v>7</v>
      </c>
      <c r="D7">
        <f>COUNTIFS(Opti[FC_AC_30_Opt_trouvé],"=VRAI",Opti[FC_AC_30_Temps],"&lt;="&amp;$A7)</f>
        <v>7</v>
      </c>
      <c r="E7">
        <f>COUNTIFS(Opti[DS_Opt_trouvé],"=VRAI",Opti[DS_Temps],"&lt;="&amp;$A7)</f>
        <v>6</v>
      </c>
      <c r="G7">
        <f>VLOOKUP($H7,Opti[],4,FALSE)</f>
        <v>86700</v>
      </c>
      <c r="H7" t="s">
        <v>61</v>
      </c>
      <c r="I7">
        <f>VLOOKUP($H7,Opti[],19,FALSE)</f>
        <v>1.9950866699218698E-3</v>
      </c>
      <c r="J7">
        <f>VLOOKUP($H7,Opti[],26,FALSE)</f>
        <v>2.39527225494384E-2</v>
      </c>
      <c r="K7">
        <f>VLOOKUP($H7,Opti[],33,FALSE)</f>
        <v>1.4992713928222601E-2</v>
      </c>
      <c r="L7">
        <f>VLOOKUP($H7,Opti[],12,FALSE)</f>
        <v>1.4967918395996001E-3</v>
      </c>
      <c r="M7">
        <f>VLOOKUP($H7,Opti[],17,FALSE)</f>
        <v>2</v>
      </c>
      <c r="N7">
        <f>VLOOKUP($H7,Opti[],24,FALSE)</f>
        <v>1</v>
      </c>
      <c r="O7">
        <f>VLOOKUP($H7,Opti[],31,FALSE)</f>
        <v>1</v>
      </c>
      <c r="P7">
        <f>VLOOKUP($H7,Opti[],10,FALSE)</f>
        <v>2</v>
      </c>
      <c r="R7" t="s">
        <v>61</v>
      </c>
      <c r="S7">
        <f>VLOOKUP(R7,Graphes[],2,FALSE)</f>
        <v>5</v>
      </c>
      <c r="T7">
        <f>VLOOKUP(R7,Graphes[],6,FALSE)</f>
        <v>5</v>
      </c>
      <c r="V7">
        <v>0.7</v>
      </c>
      <c r="W7">
        <f>COUNTIFS(Opti[FC_AC_30_Opt_trouvé],"=VRAI",Opti[FC_AC_30_Temps],"&lt;="&amp;$V7)</f>
        <v>7</v>
      </c>
      <c r="X7">
        <f>COUNTIFS(Opti[FC_AC_30_sans_clique_Opt_trouvé],"=VRAI",Opti[FC_AC_30_sans_clique_Temps],"&lt;="&amp;$V7)</f>
        <v>6</v>
      </c>
    </row>
    <row r="8" spans="1:24" x14ac:dyDescent="0.25">
      <c r="A8">
        <v>0.8</v>
      </c>
      <c r="B8">
        <f>COUNTIFS(Opti[FC_Opt_trouvé],"=VRAI",Opti[FC_Temps],"&lt;="&amp;$A8)</f>
        <v>7</v>
      </c>
      <c r="C8">
        <f>COUNTIFS(Opti[FC_AC_Opt_trouvé],"=VRAI",Opti[FC_AC_Temps],"&lt;="&amp;$A8)</f>
        <v>7</v>
      </c>
      <c r="D8">
        <f>COUNTIFS(Opti[FC_AC_30_Opt_trouvé],"=VRAI",Opti[FC_AC_30_Temps],"&lt;="&amp;$A8)</f>
        <v>7</v>
      </c>
      <c r="E8">
        <f>COUNTIFS(Opti[DS_Opt_trouvé],"=VRAI",Opti[DS_Temps],"&lt;="&amp;$A8)</f>
        <v>7</v>
      </c>
      <c r="G8">
        <f>VLOOKUP($H8,Opti[],4,FALSE)</f>
        <v>135360</v>
      </c>
      <c r="H8" t="s">
        <v>53</v>
      </c>
      <c r="I8">
        <f>VLOOKUP($H8,Opti[],19,FALSE)</f>
        <v>600.000310659408</v>
      </c>
      <c r="J8">
        <f>VLOOKUP($H8,Opti[],26,FALSE)</f>
        <v>291.175941705703</v>
      </c>
      <c r="K8">
        <f>VLOOKUP($H8,Opti[],33,FALSE)</f>
        <v>193.68427395820601</v>
      </c>
      <c r="L8">
        <f>VLOOKUP($H8,Opti[],12,FALSE)</f>
        <v>600.00819158553998</v>
      </c>
      <c r="M8">
        <f>VLOOKUP($H8,Opti[],17,FALSE)</f>
        <v>2</v>
      </c>
      <c r="N8">
        <f>VLOOKUP($H8,Opti[],24,FALSE)</f>
        <v>2</v>
      </c>
      <c r="O8">
        <f>VLOOKUP($H8,Opti[],31,FALSE)</f>
        <v>2</v>
      </c>
      <c r="P8">
        <f>VLOOKUP($H8,Opti[],10,FALSE)</f>
        <v>2</v>
      </c>
      <c r="R8" t="s">
        <v>53</v>
      </c>
      <c r="S8">
        <f>VLOOKUP(R8,Graphes[],2,FALSE)</f>
        <v>6</v>
      </c>
      <c r="T8">
        <f>VLOOKUP(R8,Graphes[],6,FALSE)</f>
        <v>2</v>
      </c>
      <c r="V8">
        <v>0.9</v>
      </c>
      <c r="W8">
        <f>COUNTIFS(Opti[FC_AC_30_Opt_trouvé],"=VRAI",Opti[FC_AC_30_Temps],"&lt;="&amp;$V8)</f>
        <v>9</v>
      </c>
      <c r="X8">
        <f>COUNTIFS(Opti[FC_AC_30_sans_clique_Opt_trouvé],"=VRAI",Opti[FC_AC_30_sans_clique_Temps],"&lt;="&amp;$V8)</f>
        <v>6</v>
      </c>
    </row>
    <row r="9" spans="1:24" x14ac:dyDescent="0.25">
      <c r="A9">
        <v>0.9</v>
      </c>
      <c r="B9">
        <f>COUNTIFS(Opti[FC_Opt_trouvé],"=VRAI",Opti[FC_Temps],"&lt;="&amp;$A9)</f>
        <v>7</v>
      </c>
      <c r="C9">
        <f>COUNTIFS(Opti[FC_AC_Opt_trouvé],"=VRAI",Opti[FC_AC_Temps],"&lt;="&amp;$A9)</f>
        <v>8</v>
      </c>
      <c r="D9">
        <f>COUNTIFS(Opti[FC_AC_30_Opt_trouvé],"=VRAI",Opti[FC_AC_30_Temps],"&lt;="&amp;$A9)</f>
        <v>9</v>
      </c>
      <c r="E9">
        <f>COUNTIFS(Opti[DS_Opt_trouvé],"=VRAI",Opti[DS_Temps],"&lt;="&amp;$A9)</f>
        <v>7</v>
      </c>
      <c r="G9">
        <f>VLOOKUP($H9,Opti[],4,FALSE)</f>
        <v>215016</v>
      </c>
      <c r="H9" t="s">
        <v>42</v>
      </c>
      <c r="I9">
        <f>VLOOKUP($H9,Opti[],19,FALSE)</f>
        <v>600.00082755088795</v>
      </c>
      <c r="J9">
        <f>VLOOKUP($H9,Opti[],26,FALSE)</f>
        <v>1.09808444976806E-2</v>
      </c>
      <c r="K9">
        <f>VLOOKUP($H9,Opti[],33,FALSE)</f>
        <v>9.9906921386718698E-3</v>
      </c>
      <c r="L9">
        <f>VLOOKUP($H9,Opti[],12,FALSE)</f>
        <v>600.27410411834705</v>
      </c>
      <c r="M9">
        <f>VLOOKUP($H9,Opti[],17,FALSE)</f>
        <v>2</v>
      </c>
      <c r="N9">
        <f>VLOOKUP($H9,Opti[],24,FALSE)</f>
        <v>2</v>
      </c>
      <c r="O9">
        <f>VLOOKUP($H9,Opti[],31,FALSE)</f>
        <v>2</v>
      </c>
      <c r="P9">
        <f>VLOOKUP($H9,Opti[],10,FALSE)</f>
        <v>2</v>
      </c>
      <c r="R9" t="s">
        <v>42</v>
      </c>
      <c r="S9">
        <f>VLOOKUP(R9,Graphes[],2,FALSE)</f>
        <v>8</v>
      </c>
      <c r="T9">
        <f>VLOOKUP(R9,Graphes[],6,FALSE)</f>
        <v>6</v>
      </c>
      <c r="V9">
        <v>1.1000000000000001</v>
      </c>
      <c r="W9">
        <f>COUNTIFS(Opti[FC_AC_30_Opt_trouvé],"=VRAI",Opti[FC_AC_30_Temps],"&lt;="&amp;$V9)</f>
        <v>10</v>
      </c>
      <c r="X9">
        <f>COUNTIFS(Opti[FC_AC_30_sans_clique_Opt_trouvé],"=VRAI",Opti[FC_AC_30_sans_clique_Temps],"&lt;="&amp;$V9)</f>
        <v>6</v>
      </c>
    </row>
    <row r="10" spans="1:24" x14ac:dyDescent="0.25">
      <c r="A10">
        <v>1</v>
      </c>
      <c r="B10">
        <f>COUNTIFS(Opti[FC_Opt_trouvé],"=VRAI",Opti[FC_Temps],"&lt;="&amp;$A10)</f>
        <v>7</v>
      </c>
      <c r="C10">
        <f>COUNTIFS(Opti[FC_AC_Opt_trouvé],"=VRAI",Opti[FC_AC_Temps],"&lt;="&amp;$A10)</f>
        <v>9</v>
      </c>
      <c r="D10">
        <f>COUNTIFS(Opti[FC_AC_30_Opt_trouvé],"=VRAI",Opti[FC_AC_30_Temps],"&lt;="&amp;$A10)</f>
        <v>9</v>
      </c>
      <c r="E10">
        <f>COUNTIFS(Opti[DS_Opt_trouvé],"=VRAI",Opti[DS_Temps],"&lt;="&amp;$A10)</f>
        <v>7</v>
      </c>
      <c r="G10">
        <f>VLOOKUP($H10,Opti[],4,FALSE)</f>
        <v>220000</v>
      </c>
      <c r="H10" t="s">
        <v>62</v>
      </c>
      <c r="I10">
        <f>VLOOKUP($H10,Opti[],19,FALSE)</f>
        <v>4.9406051635742097E-2</v>
      </c>
      <c r="J10">
        <f>VLOOKUP($H10,Opti[],26,FALSE)</f>
        <v>4.9905776977539E-2</v>
      </c>
      <c r="K10">
        <f>VLOOKUP($H10,Opti[],33,FALSE)</f>
        <v>2.29849815368652E-2</v>
      </c>
      <c r="L10">
        <f>VLOOKUP($H10,Opti[],12,FALSE)</f>
        <v>4.9906015396118102E-2</v>
      </c>
      <c r="M10">
        <f>VLOOKUP($H10,Opti[],17,FALSE)</f>
        <v>4</v>
      </c>
      <c r="N10">
        <f>VLOOKUP($H10,Opti[],24,FALSE)</f>
        <v>4</v>
      </c>
      <c r="O10">
        <f>VLOOKUP($H10,Opti[],31,FALSE)</f>
        <v>4</v>
      </c>
      <c r="P10">
        <f>VLOOKUP($H10,Opti[],10,FALSE)</f>
        <v>4</v>
      </c>
      <c r="R10" t="s">
        <v>62</v>
      </c>
      <c r="S10">
        <f>VLOOKUP(R10,Graphes[],2,FALSE)</f>
        <v>6</v>
      </c>
      <c r="T10">
        <f>VLOOKUP(R10,Graphes[],6,FALSE)</f>
        <v>6</v>
      </c>
      <c r="V10">
        <v>1.6</v>
      </c>
      <c r="W10">
        <f>COUNTIFS(Opti[FC_AC_30_Opt_trouvé],"=VRAI",Opti[FC_AC_30_Temps],"&lt;="&amp;$V10)</f>
        <v>11</v>
      </c>
      <c r="X10">
        <f>COUNTIFS(Opti[FC_AC_30_sans_clique_Opt_trouvé],"=VRAI",Opti[FC_AC_30_sans_clique_Temps],"&lt;="&amp;$V10)</f>
        <v>6</v>
      </c>
    </row>
    <row r="11" spans="1:24" x14ac:dyDescent="0.25">
      <c r="A11">
        <v>1.1000000000000001</v>
      </c>
      <c r="B11">
        <f>COUNTIFS(Opti[FC_Opt_trouvé],"=VRAI",Opti[FC_Temps],"&lt;="&amp;$A11)</f>
        <v>7</v>
      </c>
      <c r="C11">
        <f>COUNTIFS(Opti[FC_AC_Opt_trouvé],"=VRAI",Opti[FC_AC_Temps],"&lt;="&amp;$A11)</f>
        <v>10</v>
      </c>
      <c r="D11">
        <f>COUNTIFS(Opti[FC_AC_30_Opt_trouvé],"=VRAI",Opti[FC_AC_30_Temps],"&lt;="&amp;$A11)</f>
        <v>10</v>
      </c>
      <c r="E11">
        <f>COUNTIFS(Opti[DS_Opt_trouvé],"=VRAI",Opti[DS_Temps],"&lt;="&amp;$A11)</f>
        <v>7</v>
      </c>
      <c r="G11">
        <f>VLOOKUP($H11,Opti[],4,FALSE)</f>
        <v>235984</v>
      </c>
      <c r="H11" t="s">
        <v>30</v>
      </c>
      <c r="I11">
        <f>VLOOKUP($H11,Opti[],19,FALSE)</f>
        <v>2.79467105865478E-2</v>
      </c>
      <c r="J11">
        <f>VLOOKUP($H11,Opti[],26,FALSE)</f>
        <v>0.13798761367797799</v>
      </c>
      <c r="K11">
        <f>VLOOKUP($H11,Opti[],33,FALSE)</f>
        <v>7.4953794479370103E-2</v>
      </c>
      <c r="L11">
        <f>VLOOKUP($H11,Opti[],12,FALSE)</f>
        <v>3.2437086105346603E-2</v>
      </c>
      <c r="M11">
        <f>VLOOKUP($H11,Opti[],17,FALSE)</f>
        <v>1</v>
      </c>
      <c r="N11">
        <f>VLOOKUP($H11,Opti[],24,FALSE)</f>
        <v>1</v>
      </c>
      <c r="O11">
        <f>VLOOKUP($H11,Opti[],31,FALSE)</f>
        <v>1</v>
      </c>
      <c r="P11">
        <f>VLOOKUP($H11,Opti[],10,FALSE)</f>
        <v>1</v>
      </c>
      <c r="R11" t="s">
        <v>30</v>
      </c>
      <c r="S11">
        <f>VLOOKUP(R11,Graphes[],2,FALSE)</f>
        <v>9</v>
      </c>
      <c r="T11">
        <f>VLOOKUP(R11,Graphes[],6,FALSE)</f>
        <v>9</v>
      </c>
      <c r="V11">
        <v>1.9</v>
      </c>
      <c r="W11">
        <f>COUNTIFS(Opti[FC_AC_30_Opt_trouvé],"=VRAI",Opti[FC_AC_30_Temps],"&lt;="&amp;$V11)</f>
        <v>12</v>
      </c>
      <c r="X11">
        <f>COUNTIFS(Opti[FC_AC_30_sans_clique_Opt_trouvé],"=VRAI",Opti[FC_AC_30_sans_clique_Temps],"&lt;="&amp;$V11)</f>
        <v>6</v>
      </c>
    </row>
    <row r="12" spans="1:24" x14ac:dyDescent="0.25">
      <c r="A12">
        <v>1.6</v>
      </c>
      <c r="B12">
        <f>COUNTIFS(Opti[FC_Opt_trouvé],"=VRAI",Opti[FC_Temps],"&lt;="&amp;$A12)</f>
        <v>8</v>
      </c>
      <c r="C12">
        <f>COUNTIFS(Opti[FC_AC_Opt_trouvé],"=VRAI",Opti[FC_AC_Temps],"&lt;="&amp;$A12)</f>
        <v>10</v>
      </c>
      <c r="D12">
        <f>COUNTIFS(Opti[FC_AC_30_Opt_trouvé],"=VRAI",Opti[FC_AC_30_Temps],"&lt;="&amp;$A12)</f>
        <v>11</v>
      </c>
      <c r="E12">
        <f>COUNTIFS(Opti[DS_Opt_trouvé],"=VRAI",Opti[DS_Temps],"&lt;="&amp;$A12)</f>
        <v>7</v>
      </c>
      <c r="G12">
        <f>VLOOKUP($H12,Opti[],4,FALSE)</f>
        <v>385264</v>
      </c>
      <c r="H12" t="s">
        <v>19</v>
      </c>
      <c r="I12">
        <f>VLOOKUP($H12,Opti[],19,FALSE)</f>
        <v>600.00893783569302</v>
      </c>
      <c r="J12">
        <f>VLOOKUP($H12,Opti[],26,FALSE)</f>
        <v>600.035534381866</v>
      </c>
      <c r="K12">
        <f>VLOOKUP($H12,Opti[],33,FALSE)</f>
        <v>600.00611662864605</v>
      </c>
      <c r="L12">
        <f>VLOOKUP($H12,Opti[],12,FALSE)</f>
        <v>600.04132962226799</v>
      </c>
      <c r="M12">
        <f>VLOOKUP($H12,Opti[],17,FALSE)</f>
        <v>3</v>
      </c>
      <c r="N12">
        <f>VLOOKUP($H12,Opti[],24,FALSE)</f>
        <v>3</v>
      </c>
      <c r="O12">
        <f>VLOOKUP($H12,Opti[],31,FALSE)</f>
        <v>3</v>
      </c>
      <c r="P12">
        <f>VLOOKUP($H12,Opti[],10,FALSE)</f>
        <v>3</v>
      </c>
      <c r="R12" t="s">
        <v>19</v>
      </c>
      <c r="S12" t="str">
        <f>VLOOKUP(R12,Graphes[],2,FALSE)</f>
        <v>?</v>
      </c>
      <c r="T12">
        <f>VLOOKUP(R12,Graphes[],6,FALSE)</f>
        <v>3</v>
      </c>
      <c r="V12">
        <v>2</v>
      </c>
      <c r="W12">
        <f>COUNTIFS(Opti[FC_AC_30_Opt_trouvé],"=VRAI",Opti[FC_AC_30_Temps],"&lt;="&amp;$V12)</f>
        <v>14</v>
      </c>
      <c r="X12">
        <f>COUNTIFS(Opti[FC_AC_30_sans_clique_Opt_trouvé],"=VRAI",Opti[FC_AC_30_sans_clique_Temps],"&lt;="&amp;$V12)</f>
        <v>6</v>
      </c>
    </row>
    <row r="13" spans="1:24" x14ac:dyDescent="0.25">
      <c r="A13">
        <v>1.8</v>
      </c>
      <c r="B13">
        <f>COUNTIFS(Opti[FC_Opt_trouvé],"=VRAI",Opti[FC_Temps],"&lt;="&amp;$A13)</f>
        <v>8</v>
      </c>
      <c r="C13">
        <f>COUNTIFS(Opti[FC_AC_Opt_trouvé],"=VRAI",Opti[FC_AC_Temps],"&lt;="&amp;$A13)</f>
        <v>12</v>
      </c>
      <c r="D13">
        <f>COUNTIFS(Opti[FC_AC_30_Opt_trouvé],"=VRAI",Opti[FC_AC_30_Temps],"&lt;="&amp;$A13)</f>
        <v>11</v>
      </c>
      <c r="E13">
        <f>COUNTIFS(Opti[DS_Opt_trouvé],"=VRAI",Opti[DS_Temps],"&lt;="&amp;$A13)</f>
        <v>8</v>
      </c>
      <c r="G13">
        <f>VLOOKUP($H13,Opti[],4,FALSE)</f>
        <v>391127</v>
      </c>
      <c r="H13" t="s">
        <v>27</v>
      </c>
      <c r="I13">
        <f>VLOOKUP($H13,Opti[],19,FALSE)</f>
        <v>0.747933149337768</v>
      </c>
      <c r="J13">
        <f>VLOOKUP($H13,Opti[],26,FALSE)</f>
        <v>0.918753862380981</v>
      </c>
      <c r="K13">
        <f>VLOOKUP($H13,Opti[],33,FALSE)</f>
        <v>0.89596676826476995</v>
      </c>
      <c r="L13">
        <f>VLOOKUP($H13,Opti[],12,FALSE)</f>
        <v>0.65375375747680597</v>
      </c>
      <c r="M13">
        <f>VLOOKUP($H13,Opti[],17,FALSE)</f>
        <v>3</v>
      </c>
      <c r="N13">
        <f>VLOOKUP($H13,Opti[],24,FALSE)</f>
        <v>1</v>
      </c>
      <c r="O13">
        <f>VLOOKUP($H13,Opti[],31,FALSE)</f>
        <v>1</v>
      </c>
      <c r="P13">
        <f>VLOOKUP($H13,Opti[],10,FALSE)</f>
        <v>3</v>
      </c>
      <c r="R13" t="s">
        <v>27</v>
      </c>
      <c r="S13" t="str">
        <f>VLOOKUP(R13,Graphes[],2,FALSE)</f>
        <v>?</v>
      </c>
      <c r="T13">
        <f>VLOOKUP(R13,Graphes[],6,FALSE)</f>
        <v>13</v>
      </c>
      <c r="V13">
        <v>2.8</v>
      </c>
      <c r="W13">
        <f>COUNTIFS(Opti[FC_AC_30_Opt_trouvé],"=VRAI",Opti[FC_AC_30_Temps],"&lt;="&amp;$V13)</f>
        <v>15</v>
      </c>
      <c r="X13">
        <f>COUNTIFS(Opti[FC_AC_30_sans_clique_Opt_trouvé],"=VRAI",Opti[FC_AC_30_sans_clique_Temps],"&lt;="&amp;$V13)</f>
        <v>6</v>
      </c>
    </row>
    <row r="14" spans="1:24" x14ac:dyDescent="0.25">
      <c r="A14">
        <v>1.9</v>
      </c>
      <c r="B14">
        <f>COUNTIFS(Opti[FC_Opt_trouvé],"=VRAI",Opti[FC_Temps],"&lt;="&amp;$A14)</f>
        <v>8</v>
      </c>
      <c r="C14">
        <f>COUNTIFS(Opti[FC_AC_Opt_trouvé],"=VRAI",Opti[FC_AC_Temps],"&lt;="&amp;$A14)</f>
        <v>12</v>
      </c>
      <c r="D14">
        <f>COUNTIFS(Opti[FC_AC_30_Opt_trouvé],"=VRAI",Opti[FC_AC_30_Temps],"&lt;="&amp;$A14)</f>
        <v>12</v>
      </c>
      <c r="E14">
        <f>COUNTIFS(Opti[DS_Opt_trouvé],"=VRAI",Opti[DS_Temps],"&lt;="&amp;$A14)</f>
        <v>8</v>
      </c>
      <c r="G14">
        <f>VLOOKUP($H14,Opti[],4,FALSE)</f>
        <v>420480</v>
      </c>
      <c r="H14" t="s">
        <v>21</v>
      </c>
      <c r="I14">
        <f>VLOOKUP($H14,Opti[],19,FALSE)</f>
        <v>600.00044918060303</v>
      </c>
      <c r="J14">
        <f>VLOOKUP($H14,Opti[],26,FALSE)</f>
        <v>1.4471530914306601E-2</v>
      </c>
      <c r="K14">
        <f>VLOOKUP($H14,Opti[],33,FALSE)</f>
        <v>9.9921226501464792E-3</v>
      </c>
      <c r="L14">
        <f>VLOOKUP($H14,Opti[],12,FALSE)</f>
        <v>1.1538045406341499</v>
      </c>
      <c r="M14">
        <f>VLOOKUP($H14,Opti[],17,FALSE)</f>
        <v>3</v>
      </c>
      <c r="N14">
        <f>VLOOKUP($H14,Opti[],24,FALSE)</f>
        <v>3</v>
      </c>
      <c r="O14">
        <f>VLOOKUP($H14,Opti[],31,FALSE)</f>
        <v>3</v>
      </c>
      <c r="P14">
        <f>VLOOKUP($H14,Opti[],10,FALSE)</f>
        <v>4</v>
      </c>
      <c r="R14" t="s">
        <v>21</v>
      </c>
      <c r="S14" t="str">
        <f>VLOOKUP(R14,Graphes[],2,FALSE)</f>
        <v>?</v>
      </c>
      <c r="T14">
        <f>VLOOKUP(R14,Graphes[],6,FALSE)</f>
        <v>4</v>
      </c>
      <c r="V14">
        <v>3</v>
      </c>
      <c r="W14">
        <f>COUNTIFS(Opti[FC_AC_30_Opt_trouvé],"=VRAI",Opti[FC_AC_30_Temps],"&lt;="&amp;$V14)</f>
        <v>16</v>
      </c>
      <c r="X14">
        <f>COUNTIFS(Opti[FC_AC_30_sans_clique_Opt_trouvé],"=VRAI",Opti[FC_AC_30_sans_clique_Temps],"&lt;="&amp;$V14)</f>
        <v>6</v>
      </c>
    </row>
    <row r="15" spans="1:24" x14ac:dyDescent="0.25">
      <c r="A15">
        <v>2</v>
      </c>
      <c r="B15">
        <f>COUNTIFS(Opti[FC_Opt_trouvé],"=VRAI",Opti[FC_Temps],"&lt;="&amp;$A15)</f>
        <v>9</v>
      </c>
      <c r="C15">
        <f>COUNTIFS(Opti[FC_AC_Opt_trouvé],"=VRAI",Opti[FC_AC_Temps],"&lt;="&amp;$A15)</f>
        <v>12</v>
      </c>
      <c r="D15">
        <f>COUNTIFS(Opti[FC_AC_30_Opt_trouvé],"=VRAI",Opti[FC_AC_30_Temps],"&lt;="&amp;$A15)</f>
        <v>14</v>
      </c>
      <c r="E15">
        <f>COUNTIFS(Opti[DS_Opt_trouvé],"=VRAI",Opti[DS_Temps],"&lt;="&amp;$A15)</f>
        <v>8</v>
      </c>
      <c r="G15">
        <f>VLOOKUP($H15,Opti[],4,FALSE)</f>
        <v>572242</v>
      </c>
      <c r="H15" t="s">
        <v>33</v>
      </c>
      <c r="I15">
        <f>VLOOKUP($H15,Opti[],19,FALSE)</f>
        <v>600.00024342536904</v>
      </c>
      <c r="J15">
        <f>VLOOKUP($H15,Opti[],26,FALSE)</f>
        <v>9.2826128005981404E-2</v>
      </c>
      <c r="K15">
        <f>VLOOKUP($H15,Opti[],33,FALSE)</f>
        <v>5.0968885421752902E-2</v>
      </c>
      <c r="L15">
        <f>VLOOKUP($H15,Opti[],12,FALSE)</f>
        <v>1.91754150390625</v>
      </c>
      <c r="M15">
        <f>VLOOKUP($H15,Opti[],17,FALSE)</f>
        <v>2</v>
      </c>
      <c r="N15">
        <f>VLOOKUP($H15,Opti[],24,FALSE)</f>
        <v>1</v>
      </c>
      <c r="O15">
        <f>VLOOKUP($H15,Opti[],31,FALSE)</f>
        <v>1</v>
      </c>
      <c r="P15">
        <f>VLOOKUP($H15,Opti[],10,FALSE)</f>
        <v>2</v>
      </c>
      <c r="R15" t="s">
        <v>33</v>
      </c>
      <c r="S15">
        <f>VLOOKUP(R15,Graphes[],2,FALSE)</f>
        <v>10</v>
      </c>
      <c r="T15">
        <f>VLOOKUP(R15,Graphes[],6,FALSE)</f>
        <v>10</v>
      </c>
      <c r="V15">
        <v>5.6</v>
      </c>
      <c r="W15">
        <f>COUNTIFS(Opti[FC_AC_30_Opt_trouvé],"=VRAI",Opti[FC_AC_30_Temps],"&lt;="&amp;$V15)</f>
        <v>17</v>
      </c>
      <c r="X15">
        <f>COUNTIFS(Opti[FC_AC_30_sans_clique_Opt_trouvé],"=VRAI",Opti[FC_AC_30_sans_clique_Temps],"&lt;="&amp;$V15)</f>
        <v>6</v>
      </c>
    </row>
    <row r="16" spans="1:24" x14ac:dyDescent="0.25">
      <c r="A16">
        <v>2.1</v>
      </c>
      <c r="B16">
        <f>COUNTIFS(Opti[FC_Opt_trouvé],"=VRAI",Opti[FC_Temps],"&lt;="&amp;$A16)</f>
        <v>9</v>
      </c>
      <c r="C16">
        <f>COUNTIFS(Opti[FC_AC_Opt_trouvé],"=VRAI",Opti[FC_AC_Temps],"&lt;="&amp;$A16)</f>
        <v>12</v>
      </c>
      <c r="D16">
        <f>COUNTIFS(Opti[FC_AC_30_Opt_trouvé],"=VRAI",Opti[FC_AC_30_Temps],"&lt;="&amp;$A16)</f>
        <v>14</v>
      </c>
      <c r="E16">
        <f>COUNTIFS(Opti[DS_Opt_trouvé],"=VRAI",Opti[DS_Temps],"&lt;="&amp;$A16)</f>
        <v>9</v>
      </c>
      <c r="G16">
        <f>VLOOKUP($H16,Opti[],4,FALSE)</f>
        <v>576250</v>
      </c>
      <c r="H16" t="s">
        <v>63</v>
      </c>
      <c r="I16">
        <f>VLOOKUP($H16,Opti[],19,FALSE)</f>
        <v>4.9781799316406196E-4</v>
      </c>
      <c r="J16">
        <f>VLOOKUP($H16,Opti[],26,FALSE)</f>
        <v>1.6467571258544901E-2</v>
      </c>
      <c r="K16">
        <f>VLOOKUP($H16,Opti[],33,FALSE)</f>
        <v>1.7989873886108398E-2</v>
      </c>
      <c r="L16">
        <f>VLOOKUP($H16,Opti[],12,FALSE)</f>
        <v>4.9829483032226497E-4</v>
      </c>
      <c r="M16">
        <f>VLOOKUP($H16,Opti[],17,FALSE)</f>
        <v>5</v>
      </c>
      <c r="N16">
        <f>VLOOKUP($H16,Opti[],24,FALSE)</f>
        <v>5</v>
      </c>
      <c r="O16">
        <f>VLOOKUP($H16,Opti[],31,FALSE)</f>
        <v>5</v>
      </c>
      <c r="P16">
        <f>VLOOKUP($H16,Opti[],10,FALSE)</f>
        <v>5</v>
      </c>
      <c r="R16" t="s">
        <v>63</v>
      </c>
      <c r="S16">
        <f>VLOOKUP(R16,Graphes[],2,FALSE)</f>
        <v>7</v>
      </c>
      <c r="T16">
        <f>VLOOKUP(R16,Graphes[],6,FALSE)</f>
        <v>6</v>
      </c>
      <c r="V16">
        <v>7.9</v>
      </c>
      <c r="W16">
        <f>COUNTIFS(Opti[FC_AC_30_Opt_trouvé],"=VRAI",Opti[FC_AC_30_Temps],"&lt;="&amp;$V16)</f>
        <v>17</v>
      </c>
      <c r="X16">
        <f>COUNTIFS(Opti[FC_AC_30_sans_clique_Opt_trouvé],"=VRAI",Opti[FC_AC_30_sans_clique_Temps],"&lt;="&amp;$V16)</f>
        <v>7</v>
      </c>
    </row>
    <row r="17" spans="1:24" x14ac:dyDescent="0.25">
      <c r="A17">
        <v>2.4</v>
      </c>
      <c r="B17">
        <f>COUNTIFS(Opti[FC_Opt_trouvé],"=VRAI",Opti[FC_Temps],"&lt;="&amp;$A17)</f>
        <v>9</v>
      </c>
      <c r="C17">
        <f>COUNTIFS(Opti[FC_AC_Opt_trouvé],"=VRAI",Opti[FC_AC_Temps],"&lt;="&amp;$A17)</f>
        <v>12</v>
      </c>
      <c r="D17">
        <f>COUNTIFS(Opti[FC_AC_30_Opt_trouvé],"=VRAI",Opti[FC_AC_30_Temps],"&lt;="&amp;$A17)</f>
        <v>14</v>
      </c>
      <c r="E17">
        <f>COUNTIFS(Opti[DS_Opt_trouvé],"=VRAI",Opti[DS_Temps],"&lt;="&amp;$A17)</f>
        <v>10</v>
      </c>
      <c r="G17">
        <f>VLOOKUP($H17,Opti[],4,FALSE)</f>
        <v>882090</v>
      </c>
      <c r="H17" t="s">
        <v>24</v>
      </c>
      <c r="I17">
        <f>VLOOKUP($H17,Opti[],19,FALSE)</f>
        <v>600.00058674812306</v>
      </c>
      <c r="J17">
        <f>VLOOKUP($H17,Opti[],26,FALSE)</f>
        <v>600.00122094154301</v>
      </c>
      <c r="K17">
        <f>VLOOKUP($H17,Opti[],33,FALSE)</f>
        <v>600.00066709518399</v>
      </c>
      <c r="L17">
        <f>VLOOKUP($H17,Opti[],12,FALSE)</f>
        <v>600.07521581649701</v>
      </c>
      <c r="M17">
        <f>VLOOKUP($H17,Opti[],17,FALSE)</f>
        <v>3</v>
      </c>
      <c r="N17">
        <f>VLOOKUP($H17,Opti[],24,FALSE)</f>
        <v>3</v>
      </c>
      <c r="O17">
        <f>VLOOKUP($H17,Opti[],31,FALSE)</f>
        <v>3</v>
      </c>
      <c r="P17">
        <f>VLOOKUP($H17,Opti[],10,FALSE)</f>
        <v>3</v>
      </c>
      <c r="R17" t="s">
        <v>24</v>
      </c>
      <c r="S17" t="str">
        <f>VLOOKUP(R17,Graphes[],2,FALSE)</f>
        <v>?</v>
      </c>
      <c r="T17">
        <f>VLOOKUP(R17,Graphes[],6,FALSE)</f>
        <v>4</v>
      </c>
      <c r="V17">
        <v>8.6999999999999993</v>
      </c>
      <c r="W17">
        <f>COUNTIFS(Opti[FC_AC_30_Opt_trouvé],"=VRAI",Opti[FC_AC_30_Temps],"&lt;="&amp;$V17)</f>
        <v>18</v>
      </c>
      <c r="X17">
        <f>COUNTIFS(Opti[FC_AC_30_sans_clique_Opt_trouvé],"=VRAI",Opti[FC_AC_30_sans_clique_Temps],"&lt;="&amp;$V17)</f>
        <v>7</v>
      </c>
    </row>
    <row r="18" spans="1:24" x14ac:dyDescent="0.25">
      <c r="A18">
        <v>2.5</v>
      </c>
      <c r="B18">
        <f>COUNTIFS(Opti[FC_Opt_trouvé],"=VRAI",Opti[FC_Temps],"&lt;="&amp;$A18)</f>
        <v>9</v>
      </c>
      <c r="C18">
        <f>COUNTIFS(Opti[FC_AC_Opt_trouvé],"=VRAI",Opti[FC_AC_Temps],"&lt;="&amp;$A18)</f>
        <v>13</v>
      </c>
      <c r="D18">
        <f>COUNTIFS(Opti[FC_AC_30_Opt_trouvé],"=VRAI",Opti[FC_AC_30_Temps],"&lt;="&amp;$A18)</f>
        <v>14</v>
      </c>
      <c r="E18">
        <f>COUNTIFS(Opti[DS_Opt_trouvé],"=VRAI",Opti[DS_Temps],"&lt;="&amp;$A18)</f>
        <v>11</v>
      </c>
      <c r="G18">
        <f>VLOOKUP($H18,Opti[],4,FALSE)</f>
        <v>1097600</v>
      </c>
      <c r="H18" t="s">
        <v>65</v>
      </c>
      <c r="I18">
        <f>VLOOKUP($H18,Opti[],19,FALSE)</f>
        <v>600.00035071372895</v>
      </c>
      <c r="J18">
        <f>VLOOKUP($H18,Opti[],26,FALSE)</f>
        <v>368.12463521957397</v>
      </c>
      <c r="K18">
        <f>VLOOKUP($H18,Opti[],33,FALSE)</f>
        <v>80.949474334716797</v>
      </c>
      <c r="L18">
        <f>VLOOKUP($H18,Opti[],12,FALSE)</f>
        <v>600.00177216529801</v>
      </c>
      <c r="M18">
        <f>VLOOKUP($H18,Opti[],17,FALSE)</f>
        <v>6</v>
      </c>
      <c r="N18">
        <f>VLOOKUP($H18,Opti[],24,FALSE)</f>
        <v>5</v>
      </c>
      <c r="O18">
        <f>VLOOKUP($H18,Opti[],31,FALSE)</f>
        <v>5</v>
      </c>
      <c r="P18">
        <f>VLOOKUP($H18,Opti[],10,FALSE)</f>
        <v>7</v>
      </c>
      <c r="R18" t="s">
        <v>65</v>
      </c>
      <c r="S18">
        <f>VLOOKUP(R18,Graphes[],2,FALSE)</f>
        <v>9</v>
      </c>
      <c r="T18">
        <f>VLOOKUP(R18,Graphes[],6,FALSE)</f>
        <v>8</v>
      </c>
      <c r="V18">
        <v>17.3</v>
      </c>
      <c r="W18">
        <f>COUNTIFS(Opti[FC_AC_30_Opt_trouvé],"=VRAI",Opti[FC_AC_30_Temps],"&lt;="&amp;$V18)</f>
        <v>19</v>
      </c>
      <c r="X18">
        <f>COUNTIFS(Opti[FC_AC_30_sans_clique_Opt_trouvé],"=VRAI",Opti[FC_AC_30_sans_clique_Temps],"&lt;="&amp;$V18)</f>
        <v>7</v>
      </c>
    </row>
    <row r="19" spans="1:24" x14ac:dyDescent="0.25">
      <c r="A19">
        <v>2.7</v>
      </c>
      <c r="B19">
        <f>COUNTIFS(Opti[FC_Opt_trouvé],"=VRAI",Opti[FC_Temps],"&lt;="&amp;$A19)</f>
        <v>10</v>
      </c>
      <c r="C19">
        <f>COUNTIFS(Opti[FC_AC_Opt_trouvé],"=VRAI",Opti[FC_AC_Temps],"&lt;="&amp;$A19)</f>
        <v>13</v>
      </c>
      <c r="D19">
        <f>COUNTIFS(Opti[FC_AC_30_Opt_trouvé],"=VRAI",Opti[FC_AC_30_Temps],"&lt;="&amp;$A19)</f>
        <v>14</v>
      </c>
      <c r="E19">
        <f>COUNTIFS(Opti[DS_Opt_trouvé],"=VRAI",Opti[DS_Temps],"&lt;="&amp;$A19)</f>
        <v>11</v>
      </c>
      <c r="G19">
        <f>VLOOKUP($H19,Opti[],4,FALSE)</f>
        <v>1332396</v>
      </c>
      <c r="H19" t="s">
        <v>25</v>
      </c>
      <c r="I19">
        <f>VLOOKUP($H19,Opti[],19,FALSE)</f>
        <v>600.00082445144596</v>
      </c>
      <c r="J19">
        <f>VLOOKUP($H19,Opti[],26,FALSE)</f>
        <v>600.00405144691399</v>
      </c>
      <c r="K19">
        <f>VLOOKUP($H19,Opti[],33,FALSE)</f>
        <v>600.00045371055603</v>
      </c>
      <c r="L19">
        <f>VLOOKUP($H19,Opti[],12,FALSE)</f>
        <v>600.02403354644696</v>
      </c>
      <c r="M19">
        <f>VLOOKUP($H19,Opti[],17,FALSE)</f>
        <v>5</v>
      </c>
      <c r="N19">
        <f>VLOOKUP($H19,Opti[],24,FALSE)</f>
        <v>4</v>
      </c>
      <c r="O19">
        <f>VLOOKUP($H19,Opti[],31,FALSE)</f>
        <v>4</v>
      </c>
      <c r="P19">
        <f>VLOOKUP($H19,Opti[],10,FALSE)</f>
        <v>5</v>
      </c>
      <c r="R19" t="s">
        <v>25</v>
      </c>
      <c r="S19" t="str">
        <f>VLOOKUP(R19,Graphes[],2,FALSE)</f>
        <v>?</v>
      </c>
      <c r="T19">
        <f>VLOOKUP(R19,Graphes[],6,FALSE)</f>
        <v>7</v>
      </c>
      <c r="V19">
        <v>17.8</v>
      </c>
      <c r="W19">
        <f>COUNTIFS(Opti[FC_AC_30_Opt_trouvé],"=VRAI",Opti[FC_AC_30_Temps],"&lt;="&amp;$V19)</f>
        <v>20</v>
      </c>
      <c r="X19">
        <f>COUNTIFS(Opti[FC_AC_30_sans_clique_Opt_trouvé],"=VRAI",Opti[FC_AC_30_sans_clique_Temps],"&lt;="&amp;$V19)</f>
        <v>7</v>
      </c>
    </row>
    <row r="20" spans="1:24" x14ac:dyDescent="0.25">
      <c r="A20">
        <v>2.8</v>
      </c>
      <c r="B20">
        <f>COUNTIFS(Opti[FC_Opt_trouvé],"=VRAI",Opti[FC_Temps],"&lt;="&amp;$A20)</f>
        <v>10</v>
      </c>
      <c r="C20">
        <f>COUNTIFS(Opti[FC_AC_Opt_trouvé],"=VRAI",Opti[FC_AC_Temps],"&lt;="&amp;$A20)</f>
        <v>13</v>
      </c>
      <c r="D20">
        <f>COUNTIFS(Opti[FC_AC_30_Opt_trouvé],"=VRAI",Opti[FC_AC_30_Temps],"&lt;="&amp;$A20)</f>
        <v>15</v>
      </c>
      <c r="E20">
        <f>COUNTIFS(Opti[DS_Opt_trouvé],"=VRAI",Opti[DS_Temps],"&lt;="&amp;$A20)</f>
        <v>11</v>
      </c>
      <c r="G20">
        <f>VLOOKUP($H20,Opti[],4,FALSE)</f>
        <v>1417475</v>
      </c>
      <c r="H20" t="s">
        <v>26</v>
      </c>
      <c r="I20">
        <f>VLOOKUP($H20,Opti[],19,FALSE)</f>
        <v>600.00375723838795</v>
      </c>
      <c r="J20">
        <f>VLOOKUP($H20,Opti[],26,FALSE)</f>
        <v>600.002039909362</v>
      </c>
      <c r="K20">
        <f>VLOOKUP($H20,Opti[],33,FALSE)</f>
        <v>600.01406955718903</v>
      </c>
      <c r="L20">
        <f>VLOOKUP($H20,Opti[],12,FALSE)</f>
        <v>600.09275841712895</v>
      </c>
      <c r="M20">
        <f>VLOOKUP($H20,Opti[],17,FALSE)</f>
        <v>2</v>
      </c>
      <c r="N20">
        <f>VLOOKUP($H20,Opti[],24,FALSE)</f>
        <v>3</v>
      </c>
      <c r="O20">
        <f>VLOOKUP($H20,Opti[],31,FALSE)</f>
        <v>3</v>
      </c>
      <c r="P20">
        <f>VLOOKUP($H20,Opti[],10,FALSE)</f>
        <v>3</v>
      </c>
      <c r="R20" t="s">
        <v>26</v>
      </c>
      <c r="S20" t="str">
        <f>VLOOKUP(R20,Graphes[],2,FALSE)</f>
        <v>?</v>
      </c>
      <c r="T20">
        <f>VLOOKUP(R20,Graphes[],6,FALSE)</f>
        <v>4</v>
      </c>
      <c r="V20">
        <v>23</v>
      </c>
      <c r="W20">
        <f>COUNTIFS(Opti[FC_AC_30_Opt_trouvé],"=VRAI",Opti[FC_AC_30_Temps],"&lt;="&amp;$V20)</f>
        <v>21</v>
      </c>
      <c r="X20">
        <f>COUNTIFS(Opti[FC_AC_30_sans_clique_Opt_trouvé],"=VRAI",Opti[FC_AC_30_sans_clique_Temps],"&lt;="&amp;$V20)</f>
        <v>7</v>
      </c>
    </row>
    <row r="21" spans="1:24" x14ac:dyDescent="0.25">
      <c r="A21">
        <v>3</v>
      </c>
      <c r="B21">
        <f>COUNTIFS(Opti[FC_Opt_trouvé],"=VRAI",Opti[FC_Temps],"&lt;="&amp;$A21)</f>
        <v>10</v>
      </c>
      <c r="C21">
        <f>COUNTIFS(Opti[FC_AC_Opt_trouvé],"=VRAI",Opti[FC_AC_Temps],"&lt;="&amp;$A21)</f>
        <v>14</v>
      </c>
      <c r="D21">
        <f>COUNTIFS(Opti[FC_AC_30_Opt_trouvé],"=VRAI",Opti[FC_AC_30_Temps],"&lt;="&amp;$A21)</f>
        <v>16</v>
      </c>
      <c r="E21">
        <f>COUNTIFS(Opti[DS_Opt_trouvé],"=VRAI",Opti[DS_Temps],"&lt;="&amp;$A21)</f>
        <v>11</v>
      </c>
      <c r="G21">
        <f>VLOOKUP($H21,Opti[],4,FALSE)</f>
        <v>1545480</v>
      </c>
      <c r="H21" t="s">
        <v>32</v>
      </c>
      <c r="I21">
        <f>VLOOKUP($H21,Opti[],19,FALSE)</f>
        <v>0.78700375556945801</v>
      </c>
      <c r="J21">
        <f>VLOOKUP($H21,Opti[],26,FALSE)</f>
        <v>1.3972759246826101E-2</v>
      </c>
      <c r="K21">
        <f>VLOOKUP($H21,Opti[],33,FALSE)</f>
        <v>1.49886608123779E-2</v>
      </c>
      <c r="L21">
        <f>VLOOKUP($H21,Opti[],12,FALSE)</f>
        <v>0.90428185462951605</v>
      </c>
      <c r="M21">
        <f>VLOOKUP($H21,Opti[],17,FALSE)</f>
        <v>2</v>
      </c>
      <c r="N21">
        <f>VLOOKUP($H21,Opti[],24,FALSE)</f>
        <v>2</v>
      </c>
      <c r="O21">
        <f>VLOOKUP($H21,Opti[],31,FALSE)</f>
        <v>2</v>
      </c>
      <c r="P21">
        <f>VLOOKUP($H21,Opti[],10,FALSE)</f>
        <v>2</v>
      </c>
      <c r="R21" t="s">
        <v>32</v>
      </c>
      <c r="S21">
        <f>VLOOKUP(R21,Graphes[],2,FALSE)</f>
        <v>11</v>
      </c>
      <c r="T21">
        <f>VLOOKUP(R21,Graphes[],6,FALSE)</f>
        <v>9</v>
      </c>
      <c r="V21">
        <v>29.2</v>
      </c>
      <c r="W21">
        <f>COUNTIFS(Opti[FC_AC_30_Opt_trouvé],"=VRAI",Opti[FC_AC_30_Temps],"&lt;="&amp;$V21)</f>
        <v>22</v>
      </c>
      <c r="X21">
        <f>COUNTIFS(Opti[FC_AC_30_sans_clique_Opt_trouvé],"=VRAI",Opti[FC_AC_30_sans_clique_Temps],"&lt;="&amp;$V21)</f>
        <v>7</v>
      </c>
    </row>
    <row r="22" spans="1:24" x14ac:dyDescent="0.25">
      <c r="A22">
        <v>3.1</v>
      </c>
      <c r="B22">
        <f>COUNTIFS(Opti[FC_Opt_trouvé],"=VRAI",Opti[FC_Temps],"&lt;="&amp;$A22)</f>
        <v>10</v>
      </c>
      <c r="C22">
        <f>COUNTIFS(Opti[FC_AC_Opt_trouvé],"=VRAI",Opti[FC_AC_Temps],"&lt;="&amp;$A22)</f>
        <v>15</v>
      </c>
      <c r="D22">
        <f>COUNTIFS(Opti[FC_AC_30_Opt_trouvé],"=VRAI",Opti[FC_AC_30_Temps],"&lt;="&amp;$A22)</f>
        <v>16</v>
      </c>
      <c r="E22">
        <f>COUNTIFS(Opti[DS_Opt_trouvé],"=VRAI",Opti[DS_Temps],"&lt;="&amp;$A22)</f>
        <v>11</v>
      </c>
      <c r="G22">
        <f>VLOOKUP($H22,Opti[],4,FALSE)</f>
        <v>1737216</v>
      </c>
      <c r="H22" t="s">
        <v>54</v>
      </c>
      <c r="I22">
        <f>VLOOKUP($H22,Opti[],19,FALSE)</f>
        <v>600.00027894973698</v>
      </c>
      <c r="J22">
        <f>VLOOKUP($H22,Opti[],26,FALSE)</f>
        <v>600.00066709518399</v>
      </c>
      <c r="K22">
        <f>VLOOKUP($H22,Opti[],33,FALSE)</f>
        <v>600.00008487701405</v>
      </c>
      <c r="L22">
        <f>VLOOKUP($H22,Opti[],12,FALSE)</f>
        <v>600.05643320083595</v>
      </c>
      <c r="M22">
        <f>VLOOKUP($H22,Opti[],17,FALSE)</f>
        <v>2</v>
      </c>
      <c r="N22">
        <f>VLOOKUP($H22,Opti[],24,FALSE)</f>
        <v>2</v>
      </c>
      <c r="O22">
        <f>VLOOKUP($H22,Opti[],31,FALSE)</f>
        <v>2</v>
      </c>
      <c r="P22">
        <f>VLOOKUP($H22,Opti[],10,FALSE)</f>
        <v>2</v>
      </c>
      <c r="R22" t="s">
        <v>54</v>
      </c>
      <c r="S22">
        <f>VLOOKUP(R22,Graphes[],2,FALSE)</f>
        <v>7</v>
      </c>
      <c r="T22">
        <f>VLOOKUP(R22,Graphes[],6,FALSE)</f>
        <v>2</v>
      </c>
      <c r="V22">
        <v>29.7</v>
      </c>
      <c r="W22">
        <f>COUNTIFS(Opti[FC_AC_30_Opt_trouvé],"=VRAI",Opti[FC_AC_30_Temps],"&lt;="&amp;$V22)</f>
        <v>23</v>
      </c>
      <c r="X22">
        <f>COUNTIFS(Opti[FC_AC_30_sans_clique_Opt_trouvé],"=VRAI",Opti[FC_AC_30_sans_clique_Temps],"&lt;="&amp;$V22)</f>
        <v>7</v>
      </c>
    </row>
    <row r="23" spans="1:24" x14ac:dyDescent="0.25">
      <c r="A23">
        <v>3.6</v>
      </c>
      <c r="B23">
        <f>COUNTIFS(Opti[FC_Opt_trouvé],"=VRAI",Opti[FC_Temps],"&lt;="&amp;$A23)</f>
        <v>10</v>
      </c>
      <c r="C23">
        <f>COUNTIFS(Opti[FC_AC_Opt_trouvé],"=VRAI",Opti[FC_AC_Temps],"&lt;="&amp;$A23)</f>
        <v>16</v>
      </c>
      <c r="D23">
        <f>COUNTIFS(Opti[FC_AC_30_Opt_trouvé],"=VRAI",Opti[FC_AC_30_Temps],"&lt;="&amp;$A23)</f>
        <v>16</v>
      </c>
      <c r="E23">
        <f>COUNTIFS(Opti[DS_Opt_trouvé],"=VRAI",Opti[DS_Temps],"&lt;="&amp;$A23)</f>
        <v>11</v>
      </c>
      <c r="G23">
        <f>VLOOKUP($H23,Opti[],4,FALSE)</f>
        <v>2221560</v>
      </c>
      <c r="H23" t="s">
        <v>66</v>
      </c>
      <c r="I23">
        <f>VLOOKUP($H23,Opti[],19,FALSE)</f>
        <v>600.00032162666298</v>
      </c>
      <c r="J23">
        <f>VLOOKUP($H23,Opti[],26,FALSE)</f>
        <v>600.00177836418095</v>
      </c>
      <c r="K23">
        <f>VLOOKUP($H23,Opti[],33,FALSE)</f>
        <v>600.00038337707497</v>
      </c>
      <c r="L23">
        <f>VLOOKUP($H23,Opti[],12,FALSE)</f>
        <v>600.05038380622796</v>
      </c>
      <c r="M23">
        <f>VLOOKUP($H23,Opti[],17,FALSE)</f>
        <v>4</v>
      </c>
      <c r="N23">
        <f>VLOOKUP($H23,Opti[],24,FALSE)</f>
        <v>4</v>
      </c>
      <c r="O23">
        <f>VLOOKUP($H23,Opti[],31,FALSE)</f>
        <v>4</v>
      </c>
      <c r="P23">
        <f>VLOOKUP($H23,Opti[],10,FALSE)</f>
        <v>5</v>
      </c>
      <c r="R23" t="s">
        <v>66</v>
      </c>
      <c r="S23">
        <f>VLOOKUP(R23,Graphes[],2,FALSE)</f>
        <v>10</v>
      </c>
      <c r="T23">
        <f>VLOOKUP(R23,Graphes[],6,FALSE)</f>
        <v>9</v>
      </c>
      <c r="V23">
        <v>29.9</v>
      </c>
      <c r="W23">
        <f>COUNTIFS(Opti[FC_AC_30_Opt_trouvé],"=VRAI",Opti[FC_AC_30_Temps],"&lt;="&amp;$V23)</f>
        <v>24</v>
      </c>
      <c r="X23">
        <f>COUNTIFS(Opti[FC_AC_30_sans_clique_Opt_trouvé],"=VRAI",Opti[FC_AC_30_sans_clique_Temps],"&lt;="&amp;$V23)</f>
        <v>7</v>
      </c>
    </row>
    <row r="24" spans="1:24" x14ac:dyDescent="0.25">
      <c r="A24">
        <v>4.5999999999999996</v>
      </c>
      <c r="B24">
        <f>COUNTIFS(Opti[FC_Opt_trouvé],"=VRAI",Opti[FC_Temps],"&lt;="&amp;$A24)</f>
        <v>10</v>
      </c>
      <c r="C24">
        <f>COUNTIFS(Opti[FC_AC_Opt_trouvé],"=VRAI",Opti[FC_AC_Temps],"&lt;="&amp;$A24)</f>
        <v>17</v>
      </c>
      <c r="D24">
        <f>COUNTIFS(Opti[FC_AC_30_Opt_trouvé],"=VRAI",Opti[FC_AC_30_Temps],"&lt;="&amp;$A24)</f>
        <v>16</v>
      </c>
      <c r="E24">
        <f>COUNTIFS(Opti[DS_Opt_trouvé],"=VRAI",Opti[DS_Temps],"&lt;="&amp;$A24)</f>
        <v>11</v>
      </c>
      <c r="G24">
        <f>VLOOKUP($H24,Opti[],4,FALSE)</f>
        <v>2835756</v>
      </c>
      <c r="H24" t="s">
        <v>64</v>
      </c>
      <c r="I24">
        <f>VLOOKUP($H24,Opti[],19,FALSE)</f>
        <v>1.2593636512756301</v>
      </c>
      <c r="J24">
        <f>VLOOKUP($H24,Opti[],26,FALSE)</f>
        <v>0.24503421783447199</v>
      </c>
      <c r="K24">
        <f>VLOOKUP($H24,Opti[],33,FALSE)</f>
        <v>0.1309175491333</v>
      </c>
      <c r="L24">
        <f>VLOOKUP($H24,Opti[],12,FALSE)</f>
        <v>3.88625717163085</v>
      </c>
      <c r="M24">
        <f>VLOOKUP($H24,Opti[],17,FALSE)</f>
        <v>2</v>
      </c>
      <c r="N24">
        <f>VLOOKUP($H24,Opti[],24,FALSE)</f>
        <v>2</v>
      </c>
      <c r="O24">
        <f>VLOOKUP($H24,Opti[],31,FALSE)</f>
        <v>2</v>
      </c>
      <c r="P24">
        <f>VLOOKUP($H24,Opti[],10,FALSE)</f>
        <v>2</v>
      </c>
      <c r="R24" t="s">
        <v>64</v>
      </c>
      <c r="S24">
        <f>VLOOKUP(R24,Graphes[],2,FALSE)</f>
        <v>12</v>
      </c>
      <c r="T24">
        <f>VLOOKUP(R24,Graphes[],6,FALSE)</f>
        <v>12</v>
      </c>
      <c r="V24">
        <v>30.3</v>
      </c>
      <c r="W24">
        <f>COUNTIFS(Opti[FC_AC_30_Opt_trouvé],"=VRAI",Opti[FC_AC_30_Temps],"&lt;="&amp;$V24)</f>
        <v>25</v>
      </c>
      <c r="X24">
        <f>COUNTIFS(Opti[FC_AC_30_sans_clique_Opt_trouvé],"=VRAI",Opti[FC_AC_30_sans_clique_Temps],"&lt;="&amp;$V24)</f>
        <v>7</v>
      </c>
    </row>
    <row r="25" spans="1:24" x14ac:dyDescent="0.25">
      <c r="A25">
        <v>5.3</v>
      </c>
      <c r="B25">
        <f>COUNTIFS(Opti[FC_Opt_trouvé],"=VRAI",Opti[FC_Temps],"&lt;="&amp;$A25)</f>
        <v>10</v>
      </c>
      <c r="C25">
        <f>COUNTIFS(Opti[FC_AC_Opt_trouvé],"=VRAI",Opti[FC_AC_Temps],"&lt;="&amp;$A25)</f>
        <v>17</v>
      </c>
      <c r="D25">
        <f>COUNTIFS(Opti[FC_AC_30_Opt_trouvé],"=VRAI",Opti[FC_AC_30_Temps],"&lt;="&amp;$A25)</f>
        <v>16</v>
      </c>
      <c r="E25">
        <f>COUNTIFS(Opti[DS_Opt_trouvé],"=VRAI",Opti[DS_Temps],"&lt;="&amp;$A25)</f>
        <v>12</v>
      </c>
      <c r="G25">
        <f>VLOOKUP($H25,Opti[],4,FALSE)</f>
        <v>3038958</v>
      </c>
      <c r="H25" t="s">
        <v>43</v>
      </c>
      <c r="I25">
        <f>VLOOKUP($H25,Opti[],19,FALSE)</f>
        <v>600.00077843665997</v>
      </c>
      <c r="J25">
        <f>VLOOKUP($H25,Opti[],26,FALSE)</f>
        <v>0.116087198257446</v>
      </c>
      <c r="K25">
        <f>VLOOKUP($H25,Opti[],33,FALSE)</f>
        <v>0.14590620994567799</v>
      </c>
      <c r="L25">
        <f>VLOOKUP($H25,Opti[],12,FALSE)</f>
        <v>601.17205238342206</v>
      </c>
      <c r="M25">
        <f>VLOOKUP($H25,Opti[],17,FALSE)</f>
        <v>4</v>
      </c>
      <c r="N25">
        <f>VLOOKUP($H25,Opti[],24,FALSE)</f>
        <v>2</v>
      </c>
      <c r="O25">
        <f>VLOOKUP($H25,Opti[],31,FALSE)</f>
        <v>2</v>
      </c>
      <c r="P25">
        <f>VLOOKUP($H25,Opti[],10,FALSE)</f>
        <v>4</v>
      </c>
      <c r="R25" t="s">
        <v>43</v>
      </c>
      <c r="S25">
        <f>VLOOKUP(R25,Graphes[],2,FALSE)</f>
        <v>20</v>
      </c>
      <c r="T25">
        <f>VLOOKUP(R25,Graphes[],6,FALSE)</f>
        <v>19</v>
      </c>
      <c r="V25">
        <v>35.1</v>
      </c>
      <c r="W25">
        <f>COUNTIFS(Opti[FC_AC_30_Opt_trouvé],"=VRAI",Opti[FC_AC_30_Temps],"&lt;="&amp;$V25)</f>
        <v>25</v>
      </c>
      <c r="X25">
        <f>COUNTIFS(Opti[FC_AC_30_sans_clique_Opt_trouvé],"=VRAI",Opti[FC_AC_30_sans_clique_Temps],"&lt;="&amp;$V25)</f>
        <v>8</v>
      </c>
    </row>
    <row r="26" spans="1:24" x14ac:dyDescent="0.25">
      <c r="A26">
        <v>5.6</v>
      </c>
      <c r="B26">
        <f>COUNTIFS(Opti[FC_Opt_trouvé],"=VRAI",Opti[FC_Temps],"&lt;="&amp;$A26)</f>
        <v>10</v>
      </c>
      <c r="C26">
        <f>COUNTIFS(Opti[FC_AC_Opt_trouvé],"=VRAI",Opti[FC_AC_Temps],"&lt;="&amp;$A26)</f>
        <v>17</v>
      </c>
      <c r="D26">
        <f>COUNTIFS(Opti[FC_AC_30_Opt_trouvé],"=VRAI",Opti[FC_AC_30_Temps],"&lt;="&amp;$A26)</f>
        <v>17</v>
      </c>
      <c r="E26">
        <f>COUNTIFS(Opti[DS_Opt_trouvé],"=VRAI",Opti[DS_Temps],"&lt;="&amp;$A26)</f>
        <v>12</v>
      </c>
      <c r="G26">
        <f>VLOOKUP($H26,Opti[],4,FALSE)</f>
        <v>3693600</v>
      </c>
      <c r="H26" t="s">
        <v>56</v>
      </c>
      <c r="I26">
        <f>VLOOKUP($H26,Opti[],19,FALSE)</f>
        <v>600.00081610679604</v>
      </c>
      <c r="J26">
        <f>VLOOKUP($H26,Opti[],26,FALSE)</f>
        <v>600.00296568870499</v>
      </c>
      <c r="K26">
        <f>VLOOKUP($H26,Opti[],33,FALSE)</f>
        <v>600.00000309944096</v>
      </c>
      <c r="L26">
        <f>VLOOKUP($H26,Opti[],12,FALSE)</f>
        <v>600.10653996467499</v>
      </c>
      <c r="M26">
        <f>VLOOKUP($H26,Opti[],17,FALSE)</f>
        <v>5</v>
      </c>
      <c r="N26">
        <f>VLOOKUP($H26,Opti[],24,FALSE)</f>
        <v>3</v>
      </c>
      <c r="O26">
        <f>VLOOKUP($H26,Opti[],31,FALSE)</f>
        <v>3</v>
      </c>
      <c r="P26">
        <f>VLOOKUP($H26,Opti[],10,FALSE)</f>
        <v>5</v>
      </c>
      <c r="R26" t="s">
        <v>56</v>
      </c>
      <c r="S26" t="str">
        <f>VLOOKUP(R26,Graphes[],2,FALSE)</f>
        <v>?</v>
      </c>
      <c r="T26">
        <f>VLOOKUP(R26,Graphes[],6,FALSE)</f>
        <v>10</v>
      </c>
      <c r="V26">
        <v>47</v>
      </c>
      <c r="W26">
        <f>COUNTIFS(Opti[FC_AC_30_Opt_trouvé],"=VRAI",Opti[FC_AC_30_Temps],"&lt;="&amp;$V26)</f>
        <v>26</v>
      </c>
      <c r="X26">
        <f>COUNTIFS(Opti[FC_AC_30_sans_clique_Opt_trouvé],"=VRAI",Opti[FC_AC_30_sans_clique_Temps],"&lt;="&amp;$V26)</f>
        <v>8</v>
      </c>
    </row>
    <row r="27" spans="1:24" x14ac:dyDescent="0.25">
      <c r="A27">
        <v>8.6999999999999993</v>
      </c>
      <c r="B27">
        <f>COUNTIFS(Opti[FC_Opt_trouvé],"=VRAI",Opti[FC_Temps],"&lt;="&amp;$A27)</f>
        <v>10</v>
      </c>
      <c r="C27">
        <f>COUNTIFS(Opti[FC_AC_Opt_trouvé],"=VRAI",Opti[FC_AC_Temps],"&lt;="&amp;$A27)</f>
        <v>17</v>
      </c>
      <c r="D27">
        <f>COUNTIFS(Opti[FC_AC_30_Opt_trouvé],"=VRAI",Opti[FC_AC_30_Temps],"&lt;="&amp;$A27)</f>
        <v>18</v>
      </c>
      <c r="E27">
        <f>COUNTIFS(Opti[DS_Opt_trouvé],"=VRAI",Opti[DS_Temps],"&lt;="&amp;$A27)</f>
        <v>12</v>
      </c>
      <c r="G27">
        <f>VLOOKUP($H27,Opti[],4,FALSE)</f>
        <v>4644864</v>
      </c>
      <c r="H27" t="s">
        <v>17</v>
      </c>
      <c r="I27">
        <f>VLOOKUP($H27,Opti[],19,FALSE)</f>
        <v>600.00135254859902</v>
      </c>
      <c r="J27">
        <f>VLOOKUP($H27,Opti[],26,FALSE)</f>
        <v>2.5950193405151301E-2</v>
      </c>
      <c r="K27">
        <f>VLOOKUP($H27,Opti[],33,FALSE)</f>
        <v>5.8234691619872998E-2</v>
      </c>
      <c r="L27">
        <f>VLOOKUP($H27,Opti[],12,FALSE)</f>
        <v>600.91414427757195</v>
      </c>
      <c r="M27">
        <f>VLOOKUP($H27,Opti[],17,FALSE)</f>
        <v>2</v>
      </c>
      <c r="N27">
        <f>VLOOKUP($H27,Opti[],24,FALSE)</f>
        <v>2</v>
      </c>
      <c r="O27">
        <f>VLOOKUP($H27,Opti[],31,FALSE)</f>
        <v>2</v>
      </c>
      <c r="P27">
        <f>VLOOKUP($H27,Opti[],10,FALSE)</f>
        <v>2</v>
      </c>
      <c r="R27" t="s">
        <v>17</v>
      </c>
      <c r="S27">
        <f>VLOOKUP(R27,Graphes[],2,FALSE)</f>
        <v>11</v>
      </c>
      <c r="T27">
        <f>VLOOKUP(R27,Graphes[],6,FALSE)</f>
        <v>10</v>
      </c>
      <c r="V27">
        <v>71.3</v>
      </c>
      <c r="W27">
        <f>COUNTIFS(Opti[FC_AC_30_Opt_trouvé],"=VRAI",Opti[FC_AC_30_Temps],"&lt;="&amp;$V27)</f>
        <v>27</v>
      </c>
      <c r="X27">
        <f>COUNTIFS(Opti[FC_AC_30_sans_clique_Opt_trouvé],"=VRAI",Opti[FC_AC_30_sans_clique_Temps],"&lt;="&amp;$V27)</f>
        <v>8</v>
      </c>
    </row>
    <row r="28" spans="1:24" x14ac:dyDescent="0.25">
      <c r="A28">
        <v>10.1</v>
      </c>
      <c r="B28">
        <f>COUNTIFS(Opti[FC_Opt_trouvé],"=VRAI",Opti[FC_Temps],"&lt;="&amp;$A28)</f>
        <v>10</v>
      </c>
      <c r="C28">
        <f>COUNTIFS(Opti[FC_AC_Opt_trouvé],"=VRAI",Opti[FC_AC_Temps],"&lt;="&amp;$A28)</f>
        <v>18</v>
      </c>
      <c r="D28">
        <f>COUNTIFS(Opti[FC_AC_30_Opt_trouvé],"=VRAI",Opti[FC_AC_30_Temps],"&lt;="&amp;$A28)</f>
        <v>18</v>
      </c>
      <c r="E28">
        <f>COUNTIFS(Opti[DS_Opt_trouvé],"=VRAI",Opti[DS_Temps],"&lt;="&amp;$A28)</f>
        <v>12</v>
      </c>
      <c r="G28">
        <f>VLOOKUP($H28,Opti[],4,FALSE)</f>
        <v>4973858</v>
      </c>
      <c r="H28" t="s">
        <v>18</v>
      </c>
      <c r="I28">
        <f>VLOOKUP($H28,Opti[],19,FALSE)</f>
        <v>600.00024318695</v>
      </c>
      <c r="J28">
        <f>VLOOKUP($H28,Opti[],26,FALSE)</f>
        <v>2.3956298828125E-2</v>
      </c>
      <c r="K28">
        <f>VLOOKUP($H28,Opti[],33,FALSE)</f>
        <v>2.19883918762207E-2</v>
      </c>
      <c r="L28">
        <f>VLOOKUP($H28,Opti[],12,FALSE)</f>
        <v>600.13222146034195</v>
      </c>
      <c r="M28">
        <f>VLOOKUP($H28,Opti[],17,FALSE)</f>
        <v>2</v>
      </c>
      <c r="N28">
        <f>VLOOKUP($H28,Opti[],24,FALSE)</f>
        <v>2</v>
      </c>
      <c r="O28">
        <f>VLOOKUP($H28,Opti[],31,FALSE)</f>
        <v>2</v>
      </c>
      <c r="P28">
        <f>VLOOKUP($H28,Opti[],10,FALSE)</f>
        <v>2</v>
      </c>
      <c r="R28" t="s">
        <v>18</v>
      </c>
      <c r="S28">
        <f>VLOOKUP(R28,Graphes[],2,FALSE)</f>
        <v>11</v>
      </c>
      <c r="T28">
        <f>VLOOKUP(R28,Graphes[],6,FALSE)</f>
        <v>10</v>
      </c>
      <c r="V28">
        <v>85.1</v>
      </c>
      <c r="W28">
        <f>COUNTIFS(Opti[FC_AC_30_Opt_trouvé],"=VRAI",Opti[FC_AC_30_Temps],"&lt;="&amp;$V28)</f>
        <v>28</v>
      </c>
      <c r="X28">
        <f>COUNTIFS(Opti[FC_AC_30_sans_clique_Opt_trouvé],"=VRAI",Opti[FC_AC_30_sans_clique_Temps],"&lt;="&amp;$V28)</f>
        <v>8</v>
      </c>
    </row>
    <row r="29" spans="1:24" x14ac:dyDescent="0.25">
      <c r="A29">
        <v>17.3</v>
      </c>
      <c r="B29">
        <f>COUNTIFS(Opti[FC_Opt_trouvé],"=VRAI",Opti[FC_Temps],"&lt;="&amp;$A29)</f>
        <v>10</v>
      </c>
      <c r="C29">
        <f>COUNTIFS(Opti[FC_AC_Opt_trouvé],"=VRAI",Opti[FC_AC_Temps],"&lt;="&amp;$A29)</f>
        <v>19</v>
      </c>
      <c r="D29">
        <f>COUNTIFS(Opti[FC_AC_30_Opt_trouvé],"=VRAI",Opti[FC_AC_30_Temps],"&lt;="&amp;$A29)</f>
        <v>19</v>
      </c>
      <c r="E29">
        <f>COUNTIFS(Opti[DS_Opt_trouvé],"=VRAI",Opti[DS_Temps],"&lt;="&amp;$A29)</f>
        <v>12</v>
      </c>
      <c r="G29">
        <f>VLOOKUP($H29,Opti[],4,FALSE)</f>
        <v>5505500</v>
      </c>
      <c r="H29" t="s">
        <v>20</v>
      </c>
      <c r="I29">
        <f>VLOOKUP($H29,Opti[],19,FALSE)</f>
        <v>600.05048632621697</v>
      </c>
      <c r="J29">
        <f>VLOOKUP($H29,Opti[],26,FALSE)</f>
        <v>600.00324225425697</v>
      </c>
      <c r="K29">
        <f>VLOOKUP($H29,Opti[],33,FALSE)</f>
        <v>600.01285624503998</v>
      </c>
      <c r="L29">
        <f>VLOOKUP($H29,Opti[],12,FALSE)</f>
        <v>600.20346665382306</v>
      </c>
      <c r="M29">
        <f>VLOOKUP($H29,Opti[],17,FALSE)</f>
        <v>5</v>
      </c>
      <c r="N29">
        <f>VLOOKUP($H29,Opti[],24,FALSE)</f>
        <v>4</v>
      </c>
      <c r="O29">
        <f>VLOOKUP($H29,Opti[],31,FALSE)</f>
        <v>4</v>
      </c>
      <c r="P29">
        <f>VLOOKUP($H29,Opti[],10,FALSE)</f>
        <v>5</v>
      </c>
      <c r="R29" t="s">
        <v>20</v>
      </c>
      <c r="S29" t="str">
        <f>VLOOKUP(R29,Graphes[],2,FALSE)</f>
        <v>?</v>
      </c>
      <c r="T29">
        <f>VLOOKUP(R29,Graphes[],6,FALSE)</f>
        <v>7</v>
      </c>
      <c r="V29">
        <v>86.2</v>
      </c>
      <c r="W29">
        <f>COUNTIFS(Opti[FC_AC_30_Opt_trouvé],"=VRAI",Opti[FC_AC_30_Temps],"&lt;="&amp;$V29)</f>
        <v>29</v>
      </c>
      <c r="X29">
        <f>COUNTIFS(Opti[FC_AC_30_sans_clique_Opt_trouvé],"=VRAI",Opti[FC_AC_30_sans_clique_Temps],"&lt;="&amp;$V29)</f>
        <v>8</v>
      </c>
    </row>
    <row r="30" spans="1:24" x14ac:dyDescent="0.25">
      <c r="A30">
        <v>17.8</v>
      </c>
      <c r="B30">
        <f>COUNTIFS(Opti[FC_Opt_trouvé],"=VRAI",Opti[FC_Temps],"&lt;="&amp;$A30)</f>
        <v>10</v>
      </c>
      <c r="C30">
        <f>COUNTIFS(Opti[FC_AC_Opt_trouvé],"=VRAI",Opti[FC_AC_Temps],"&lt;="&amp;$A30)</f>
        <v>20</v>
      </c>
      <c r="D30">
        <f>COUNTIFS(Opti[FC_AC_30_Opt_trouvé],"=VRAI",Opti[FC_AC_30_Temps],"&lt;="&amp;$A30)</f>
        <v>20</v>
      </c>
      <c r="E30">
        <f>COUNTIFS(Opti[DS_Opt_trouvé],"=VRAI",Opti[DS_Temps],"&lt;="&amp;$A30)</f>
        <v>12</v>
      </c>
      <c r="G30">
        <f>VLOOKUP($H30,Opti[],4,FALSE)</f>
        <v>6471850</v>
      </c>
      <c r="H30" t="s">
        <v>57</v>
      </c>
      <c r="I30">
        <f>VLOOKUP($H30,Opti[],19,FALSE)</f>
        <v>600.00077986717201</v>
      </c>
      <c r="J30">
        <f>VLOOKUP($H30,Opti[],26,FALSE)</f>
        <v>600.00130677223206</v>
      </c>
      <c r="K30">
        <f>VLOOKUP($H30,Opti[],33,FALSE)</f>
        <v>600.001451492309</v>
      </c>
      <c r="L30">
        <f>VLOOKUP($H30,Opti[],12,FALSE)</f>
        <v>600.19302248954705</v>
      </c>
      <c r="M30">
        <f>VLOOKUP($H30,Opti[],17,FALSE)</f>
        <v>4</v>
      </c>
      <c r="N30">
        <f>VLOOKUP($H30,Opti[],24,FALSE)</f>
        <v>4</v>
      </c>
      <c r="O30">
        <f>VLOOKUP($H30,Opti[],31,FALSE)</f>
        <v>5</v>
      </c>
      <c r="P30">
        <f>VLOOKUP($H30,Opti[],10,FALSE)</f>
        <v>5</v>
      </c>
      <c r="R30" t="s">
        <v>57</v>
      </c>
      <c r="S30">
        <f>VLOOKUP(R30,Graphes[],2,FALSE)</f>
        <v>11</v>
      </c>
      <c r="T30">
        <f>VLOOKUP(R30,Graphes[],6,FALSE)</f>
        <v>11</v>
      </c>
      <c r="V30">
        <v>89.5</v>
      </c>
      <c r="W30">
        <f>COUNTIFS(Opti[FC_AC_30_Opt_trouvé],"=VRAI",Opti[FC_AC_30_Temps],"&lt;="&amp;$V30)</f>
        <v>30</v>
      </c>
      <c r="X30">
        <f>COUNTIFS(Opti[FC_AC_30_sans_clique_Opt_trouvé],"=VRAI",Opti[FC_AC_30_sans_clique_Temps],"&lt;="&amp;$V30)</f>
        <v>8</v>
      </c>
    </row>
    <row r="31" spans="1:24" x14ac:dyDescent="0.25">
      <c r="A31">
        <v>23</v>
      </c>
      <c r="B31">
        <f>COUNTIFS(Opti[FC_Opt_trouvé],"=VRAI",Opti[FC_Temps],"&lt;="&amp;$A31)</f>
        <v>10</v>
      </c>
      <c r="C31">
        <f>COUNTIFS(Opti[FC_AC_Opt_trouvé],"=VRAI",Opti[FC_AC_Temps],"&lt;="&amp;$A31)</f>
        <v>20</v>
      </c>
      <c r="D31">
        <f>COUNTIFS(Opti[FC_AC_30_Opt_trouvé],"=VRAI",Opti[FC_AC_30_Temps],"&lt;="&amp;$A31)</f>
        <v>21</v>
      </c>
      <c r="E31">
        <f>COUNTIFS(Opti[DS_Opt_trouvé],"=VRAI",Opti[DS_Temps],"&lt;="&amp;$A31)</f>
        <v>12</v>
      </c>
      <c r="G31">
        <f>VLOOKUP($H31,Opti[],4,FALSE)</f>
        <v>9796160</v>
      </c>
      <c r="H31" t="s">
        <v>58</v>
      </c>
      <c r="I31">
        <f>VLOOKUP($H31,Opti[],19,FALSE)</f>
        <v>600.00085353851296</v>
      </c>
      <c r="J31">
        <f>VLOOKUP($H31,Opti[],26,FALSE)</f>
        <v>600.00342059135403</v>
      </c>
      <c r="K31">
        <f>VLOOKUP($H31,Opti[],33,FALSE)</f>
        <v>600.00086259841896</v>
      </c>
      <c r="L31">
        <f>VLOOKUP($H31,Opti[],12,FALSE)</f>
        <v>600.37310695648102</v>
      </c>
      <c r="M31">
        <f>VLOOKUP($H31,Opti[],17,FALSE)</f>
        <v>5</v>
      </c>
      <c r="N31">
        <f>VLOOKUP($H31,Opti[],24,FALSE)</f>
        <v>4</v>
      </c>
      <c r="O31">
        <f>VLOOKUP($H31,Opti[],31,FALSE)</f>
        <v>4</v>
      </c>
      <c r="P31">
        <f>VLOOKUP($H31,Opti[],10,FALSE)</f>
        <v>5</v>
      </c>
      <c r="R31" t="s">
        <v>58</v>
      </c>
      <c r="S31" t="str">
        <f>VLOOKUP(R31,Graphes[],2,FALSE)</f>
        <v>?</v>
      </c>
      <c r="T31">
        <f>VLOOKUP(R31,Graphes[],6,FALSE)</f>
        <v>12</v>
      </c>
      <c r="V31">
        <v>189.8</v>
      </c>
      <c r="W31">
        <f>COUNTIFS(Opti[FC_AC_30_Opt_trouvé],"=VRAI",Opti[FC_AC_30_Temps],"&lt;="&amp;$V31)</f>
        <v>31</v>
      </c>
      <c r="X31">
        <f>COUNTIFS(Opti[FC_AC_30_sans_clique_Opt_trouvé],"=VRAI",Opti[FC_AC_30_sans_clique_Temps],"&lt;="&amp;$V31)</f>
        <v>8</v>
      </c>
    </row>
    <row r="32" spans="1:24" x14ac:dyDescent="0.25">
      <c r="A32">
        <v>29.2</v>
      </c>
      <c r="B32">
        <f>COUNTIFS(Opti[FC_Opt_trouvé],"=VRAI",Opti[FC_Temps],"&lt;="&amp;$A32)</f>
        <v>10</v>
      </c>
      <c r="C32">
        <f>COUNTIFS(Opti[FC_AC_Opt_trouvé],"=VRAI",Opti[FC_AC_Temps],"&lt;="&amp;$A32)</f>
        <v>20</v>
      </c>
      <c r="D32">
        <f>COUNTIFS(Opti[FC_AC_30_Opt_trouvé],"=VRAI",Opti[FC_AC_30_Temps],"&lt;="&amp;$A32)</f>
        <v>22</v>
      </c>
      <c r="E32">
        <f>COUNTIFS(Opti[DS_Opt_trouvé],"=VRAI",Opti[DS_Temps],"&lt;="&amp;$A32)</f>
        <v>12</v>
      </c>
      <c r="G32">
        <f>VLOOKUP($H32,Opti[],4,FALSE)</f>
        <v>10546696</v>
      </c>
      <c r="H32" t="s">
        <v>38</v>
      </c>
      <c r="I32">
        <f>VLOOKUP($H32,Opti[],19,FALSE)</f>
        <v>600.03478670120205</v>
      </c>
      <c r="J32">
        <f>VLOOKUP($H32,Opti[],26,FALSE)</f>
        <v>600.00587916374195</v>
      </c>
      <c r="K32">
        <f>VLOOKUP($H32,Opti[],33,FALSE)</f>
        <v>600.00482940673805</v>
      </c>
      <c r="L32">
        <f>VLOOKUP($H32,Opti[],12,FALSE)</f>
        <v>600.29022860527004</v>
      </c>
      <c r="M32">
        <f>VLOOKUP($H32,Opti[],17,FALSE)</f>
        <v>2</v>
      </c>
      <c r="N32">
        <f>VLOOKUP($H32,Opti[],24,FALSE)</f>
        <v>3</v>
      </c>
      <c r="O32">
        <f>VLOOKUP($H32,Opti[],31,FALSE)</f>
        <v>3</v>
      </c>
      <c r="P32">
        <f>VLOOKUP($H32,Opti[],10,FALSE)</f>
        <v>3</v>
      </c>
      <c r="R32" t="s">
        <v>38</v>
      </c>
      <c r="S32">
        <f>VLOOKUP(R32,Graphes[],2,FALSE)</f>
        <v>5</v>
      </c>
      <c r="T32">
        <f>VLOOKUP(R32,Graphes[],6,FALSE)</f>
        <v>5</v>
      </c>
      <c r="V32">
        <v>193.9</v>
      </c>
      <c r="W32">
        <f>COUNTIFS(Opti[FC_AC_30_Opt_trouvé],"=VRAI",Opti[FC_AC_30_Temps],"&lt;="&amp;$V32)</f>
        <v>32</v>
      </c>
      <c r="X32">
        <f>COUNTIFS(Opti[FC_AC_30_sans_clique_Opt_trouvé],"=VRAI",Opti[FC_AC_30_sans_clique_Temps],"&lt;="&amp;$V32)</f>
        <v>8</v>
      </c>
    </row>
    <row r="33" spans="1:24" x14ac:dyDescent="0.25">
      <c r="A33">
        <v>29.7</v>
      </c>
      <c r="B33">
        <f>COUNTIFS(Opti[FC_Opt_trouvé],"=VRAI",Opti[FC_Temps],"&lt;="&amp;$A33)</f>
        <v>10</v>
      </c>
      <c r="C33">
        <f>COUNTIFS(Opti[FC_AC_Opt_trouvé],"=VRAI",Opti[FC_AC_Temps],"&lt;="&amp;$A33)</f>
        <v>20</v>
      </c>
      <c r="D33">
        <f>COUNTIFS(Opti[FC_AC_30_Opt_trouvé],"=VRAI",Opti[FC_AC_30_Temps],"&lt;="&amp;$A33)</f>
        <v>23</v>
      </c>
      <c r="E33">
        <f>COUNTIFS(Opti[DS_Opt_trouvé],"=VRAI",Opti[DS_Temps],"&lt;="&amp;$A33)</f>
        <v>12</v>
      </c>
      <c r="G33">
        <f>VLOOKUP($H33,Opti[],4,FALSE)</f>
        <v>10583676</v>
      </c>
      <c r="H33" t="s">
        <v>39</v>
      </c>
      <c r="I33">
        <f>VLOOKUP($H33,Opti[],19,FALSE)</f>
        <v>600.00604081153801</v>
      </c>
      <c r="J33">
        <f>VLOOKUP($H33,Opti[],26,FALSE)</f>
        <v>600.004887342453</v>
      </c>
      <c r="K33">
        <f>VLOOKUP($H33,Opti[],33,FALSE)</f>
        <v>600.00371742248501</v>
      </c>
      <c r="L33">
        <f>VLOOKUP($H33,Opti[],12,FALSE)</f>
        <v>600.27779865264802</v>
      </c>
      <c r="M33">
        <f>VLOOKUP($H33,Opti[],17,FALSE)</f>
        <v>2</v>
      </c>
      <c r="N33">
        <f>VLOOKUP($H33,Opti[],24,FALSE)</f>
        <v>3</v>
      </c>
      <c r="O33">
        <f>VLOOKUP($H33,Opti[],31,FALSE)</f>
        <v>3</v>
      </c>
      <c r="P33">
        <f>VLOOKUP($H33,Opti[],10,FALSE)</f>
        <v>3</v>
      </c>
      <c r="R33" t="s">
        <v>39</v>
      </c>
      <c r="S33">
        <f>VLOOKUP(R33,Graphes[],2,FALSE)</f>
        <v>5</v>
      </c>
      <c r="T33">
        <f>VLOOKUP(R33,Graphes[],6,FALSE)</f>
        <v>5</v>
      </c>
      <c r="V33">
        <v>200</v>
      </c>
      <c r="W33">
        <f>COUNTIFS(Opti[FC_AC_30_Opt_trouvé],"=VRAI",Opti[FC_AC_30_Temps],"&lt;="&amp;$V33)</f>
        <v>32</v>
      </c>
      <c r="X33">
        <f>COUNTIFS(Opti[FC_AC_30_sans_clique_Opt_trouvé],"=VRAI",Opti[FC_AC_30_sans_clique_Temps],"&lt;="&amp;$V33)</f>
        <v>8</v>
      </c>
    </row>
    <row r="34" spans="1:24" x14ac:dyDescent="0.25">
      <c r="A34">
        <v>29.9</v>
      </c>
      <c r="B34">
        <f>COUNTIFS(Opti[FC_Opt_trouvé],"=VRAI",Opti[FC_Temps],"&lt;="&amp;$A34)</f>
        <v>10</v>
      </c>
      <c r="C34">
        <f>COUNTIFS(Opti[FC_AC_Opt_trouvé],"=VRAI",Opti[FC_AC_Temps],"&lt;="&amp;$A34)</f>
        <v>20</v>
      </c>
      <c r="D34">
        <f>COUNTIFS(Opti[FC_AC_30_Opt_trouvé],"=VRAI",Opti[FC_AC_30_Temps],"&lt;="&amp;$A34)</f>
        <v>24</v>
      </c>
      <c r="E34">
        <f>COUNTIFS(Opti[DS_Opt_trouvé],"=VRAI",Opti[DS_Temps],"&lt;="&amp;$A34)</f>
        <v>12</v>
      </c>
      <c r="G34">
        <f>VLOOKUP($H34,Opti[],4,FALSE)</f>
        <v>15108600</v>
      </c>
      <c r="H34" t="s">
        <v>44</v>
      </c>
      <c r="I34">
        <f>VLOOKUP($H34,Opti[],19,FALSE)</f>
        <v>600.00079083442597</v>
      </c>
      <c r="J34">
        <f>VLOOKUP($H34,Opti[],26,FALSE)</f>
        <v>2.0066831111907901</v>
      </c>
      <c r="K34">
        <f>VLOOKUP($H34,Opti[],33,FALSE)</f>
        <v>0.78602242469787598</v>
      </c>
      <c r="L34">
        <f>VLOOKUP($H34,Opti[],12,FALSE)</f>
        <v>602.358385086059</v>
      </c>
      <c r="M34">
        <f>VLOOKUP($H34,Opti[],17,FALSE)</f>
        <v>2</v>
      </c>
      <c r="N34">
        <f>VLOOKUP($H34,Opti[],24,FALSE)</f>
        <v>2</v>
      </c>
      <c r="O34">
        <f>VLOOKUP($H34,Opti[],31,FALSE)</f>
        <v>2</v>
      </c>
      <c r="P34">
        <f>VLOOKUP($H34,Opti[],10,FALSE)</f>
        <v>4</v>
      </c>
      <c r="R34" t="s">
        <v>44</v>
      </c>
      <c r="S34">
        <f>VLOOKUP(R34,Graphes[],2,FALSE)</f>
        <v>31</v>
      </c>
      <c r="T34">
        <f>VLOOKUP(R34,Graphes[],6,FALSE)</f>
        <v>26</v>
      </c>
    </row>
    <row r="35" spans="1:24" x14ac:dyDescent="0.25">
      <c r="A35">
        <v>30.3</v>
      </c>
      <c r="B35">
        <f>COUNTIFS(Opti[FC_Opt_trouvé],"=VRAI",Opti[FC_Temps],"&lt;="&amp;$A35)</f>
        <v>10</v>
      </c>
      <c r="C35">
        <f>COUNTIFS(Opti[FC_AC_Opt_trouvé],"=VRAI",Opti[FC_AC_Temps],"&lt;="&amp;$A35)</f>
        <v>20</v>
      </c>
      <c r="D35">
        <f>COUNTIFS(Opti[FC_AC_30_Opt_trouvé],"=VRAI",Opti[FC_AC_30_Temps],"&lt;="&amp;$A35)</f>
        <v>25</v>
      </c>
      <c r="E35">
        <f>COUNTIFS(Opti[DS_Opt_trouvé],"=VRAI",Opti[DS_Temps],"&lt;="&amp;$A35)</f>
        <v>12</v>
      </c>
      <c r="G35">
        <f>VLOOKUP($H35,Opti[],4,FALSE)</f>
        <v>15606500</v>
      </c>
      <c r="H35" t="s">
        <v>59</v>
      </c>
      <c r="I35">
        <f>VLOOKUP($H35,Opti[],19,FALSE)</f>
        <v>600.00160241127003</v>
      </c>
      <c r="J35">
        <f>VLOOKUP($H35,Opti[],26,FALSE)</f>
        <v>600.05183124542202</v>
      </c>
      <c r="K35">
        <f>VLOOKUP($H35,Opti[],33,FALSE)</f>
        <v>600.00101876258805</v>
      </c>
      <c r="L35">
        <f>VLOOKUP($H35,Opti[],12,FALSE)</f>
        <v>600.59631824493397</v>
      </c>
      <c r="M35">
        <f>VLOOKUP($H35,Opti[],17,FALSE)</f>
        <v>2</v>
      </c>
      <c r="N35">
        <f>VLOOKUP($H35,Opti[],24,FALSE)</f>
        <v>2</v>
      </c>
      <c r="O35">
        <f>VLOOKUP($H35,Opti[],31,FALSE)</f>
        <v>2</v>
      </c>
      <c r="P35">
        <f>VLOOKUP($H35,Opti[],10,FALSE)</f>
        <v>7</v>
      </c>
      <c r="R35" t="s">
        <v>59</v>
      </c>
      <c r="S35">
        <f>VLOOKUP(R35,Graphes[],2,FALSE)</f>
        <v>13</v>
      </c>
      <c r="T35">
        <f>VLOOKUP(R35,Graphes[],6,FALSE)</f>
        <v>13</v>
      </c>
    </row>
    <row r="36" spans="1:24" x14ac:dyDescent="0.25">
      <c r="A36">
        <v>31.9</v>
      </c>
      <c r="B36">
        <f>COUNTIFS(Opti[FC_Opt_trouvé],"=VRAI",Opti[FC_Temps],"&lt;="&amp;$A36)</f>
        <v>10</v>
      </c>
      <c r="C36">
        <f>COUNTIFS(Opti[FC_AC_Opt_trouvé],"=VRAI",Opti[FC_AC_Temps],"&lt;="&amp;$A36)</f>
        <v>21</v>
      </c>
      <c r="D36">
        <f>COUNTIFS(Opti[FC_AC_30_Opt_trouvé],"=VRAI",Opti[FC_AC_30_Temps],"&lt;="&amp;$A36)</f>
        <v>25</v>
      </c>
      <c r="E36">
        <f>COUNTIFS(Opti[DS_Opt_trouvé],"=VRAI",Opti[DS_Temps],"&lt;="&amp;$A36)</f>
        <v>12</v>
      </c>
      <c r="G36">
        <f>VLOOKUP($H36,Opti[],4,FALSE)</f>
        <v>21740544</v>
      </c>
      <c r="H36" t="s">
        <v>55</v>
      </c>
      <c r="I36">
        <f>VLOOKUP($H36,Opti[],19,FALSE)</f>
        <v>600.00050497054997</v>
      </c>
      <c r="J36">
        <f>VLOOKUP($H36,Opti[],26,FALSE)</f>
        <v>600.000866413116</v>
      </c>
      <c r="K36">
        <f>VLOOKUP($H36,Opti[],33,FALSE)</f>
        <v>600.00011777877796</v>
      </c>
      <c r="L36">
        <f>VLOOKUP($H36,Opti[],12,FALSE)</f>
        <v>600.16627001762299</v>
      </c>
      <c r="M36">
        <f>VLOOKUP($H36,Opti[],17,FALSE)</f>
        <v>2</v>
      </c>
      <c r="N36">
        <f>VLOOKUP($H36,Opti[],24,FALSE)</f>
        <v>2</v>
      </c>
      <c r="O36">
        <f>VLOOKUP($H36,Opti[],31,FALSE)</f>
        <v>2</v>
      </c>
      <c r="P36">
        <f>VLOOKUP($H36,Opti[],10,FALSE)</f>
        <v>2</v>
      </c>
      <c r="R36" t="s">
        <v>55</v>
      </c>
      <c r="S36">
        <f>VLOOKUP(R36,Graphes[],2,FALSE)</f>
        <v>8</v>
      </c>
      <c r="T36">
        <f>VLOOKUP(R36,Graphes[],6,FALSE)</f>
        <v>2</v>
      </c>
    </row>
    <row r="37" spans="1:24" x14ac:dyDescent="0.25">
      <c r="A37">
        <v>32.6</v>
      </c>
      <c r="B37">
        <f>COUNTIFS(Opti[FC_Opt_trouvé],"=VRAI",Opti[FC_Temps],"&lt;="&amp;$A37)</f>
        <v>10</v>
      </c>
      <c r="C37">
        <f>COUNTIFS(Opti[FC_AC_Opt_trouvé],"=VRAI",Opti[FC_AC_Temps],"&lt;="&amp;$A37)</f>
        <v>22</v>
      </c>
      <c r="D37">
        <f>COUNTIFS(Opti[FC_AC_30_Opt_trouvé],"=VRAI",Opti[FC_AC_30_Temps],"&lt;="&amp;$A37)</f>
        <v>25</v>
      </c>
      <c r="E37">
        <f>COUNTIFS(Opti[DS_Opt_trouvé],"=VRAI",Opti[DS_Temps],"&lt;="&amp;$A37)</f>
        <v>12</v>
      </c>
      <c r="G37">
        <f>VLOOKUP($H37,Opti[],4,FALSE)</f>
        <v>22145760</v>
      </c>
      <c r="H37" t="s">
        <v>60</v>
      </c>
      <c r="I37">
        <f>VLOOKUP($H37,Opti[],19,FALSE)</f>
        <v>600.00195264816205</v>
      </c>
      <c r="J37">
        <f>VLOOKUP($H37,Opti[],26,FALSE)</f>
        <v>600.00185418128899</v>
      </c>
      <c r="K37">
        <f>VLOOKUP($H37,Opti[],33,FALSE)</f>
        <v>600.00163888931195</v>
      </c>
      <c r="L37">
        <f>VLOOKUP($H37,Opti[],12,FALSE)</f>
        <v>600.75415635108902</v>
      </c>
      <c r="M37">
        <f>VLOOKUP($H37,Opti[],17,FALSE)</f>
        <v>5</v>
      </c>
      <c r="N37">
        <f>VLOOKUP($H37,Opti[],24,FALSE)</f>
        <v>5</v>
      </c>
      <c r="O37">
        <f>VLOOKUP($H37,Opti[],31,FALSE)</f>
        <v>5</v>
      </c>
      <c r="P37">
        <f>VLOOKUP($H37,Opti[],10,FALSE)</f>
        <v>6</v>
      </c>
      <c r="R37" t="s">
        <v>60</v>
      </c>
      <c r="S37" t="str">
        <f>VLOOKUP(R37,Graphes[],2,FALSE)</f>
        <v>?</v>
      </c>
      <c r="T37">
        <f>VLOOKUP(R37,Graphes[],6,FALSE)</f>
        <v>14</v>
      </c>
    </row>
    <row r="38" spans="1:24" x14ac:dyDescent="0.25">
      <c r="A38">
        <v>33</v>
      </c>
      <c r="B38">
        <f>COUNTIFS(Opti[FC_Opt_trouvé],"=VRAI",Opti[FC_Temps],"&lt;="&amp;$A38)</f>
        <v>10</v>
      </c>
      <c r="C38">
        <f>COUNTIFS(Opti[FC_AC_Opt_trouvé],"=VRAI",Opti[FC_AC_Temps],"&lt;="&amp;$A38)</f>
        <v>23</v>
      </c>
      <c r="D38">
        <f>COUNTIFS(Opti[FC_AC_30_Opt_trouvé],"=VRAI",Opti[FC_AC_30_Temps],"&lt;="&amp;$A38)</f>
        <v>25</v>
      </c>
      <c r="E38">
        <f>COUNTIFS(Opti[DS_Opt_trouvé],"=VRAI",Opti[DS_Temps],"&lt;="&amp;$A38)</f>
        <v>12</v>
      </c>
      <c r="G38">
        <f>VLOOKUP($H38,Opti[],4,FALSE)</f>
        <v>31460000</v>
      </c>
      <c r="H38" t="s">
        <v>31</v>
      </c>
      <c r="I38">
        <f>VLOOKUP($H38,Opti[],19,FALSE)</f>
        <v>600.00274729728699</v>
      </c>
      <c r="J38">
        <f>VLOOKUP($H38,Opti[],26,FALSE)</f>
        <v>600.00388216972306</v>
      </c>
      <c r="K38">
        <f>VLOOKUP($H38,Opti[],33,FALSE)</f>
        <v>600.11819720268204</v>
      </c>
      <c r="L38">
        <f>VLOOKUP($H38,Opti[],12,FALSE)</f>
        <v>600.80558609962395</v>
      </c>
      <c r="M38">
        <f>VLOOKUP($H38,Opti[],17,FALSE)</f>
        <v>2</v>
      </c>
      <c r="N38">
        <f>VLOOKUP($H38,Opti[],24,FALSE)</f>
        <v>2</v>
      </c>
      <c r="O38">
        <f>VLOOKUP($H38,Opti[],31,FALSE)</f>
        <v>2</v>
      </c>
      <c r="P38">
        <f>VLOOKUP($H38,Opti[],10,FALSE)</f>
        <v>2</v>
      </c>
      <c r="R38" t="s">
        <v>31</v>
      </c>
      <c r="S38">
        <f>VLOOKUP(R38,Graphes[],2,FALSE)</f>
        <v>13</v>
      </c>
      <c r="T38">
        <f>VLOOKUP(R38,Graphes[],6,FALSE)</f>
        <v>11</v>
      </c>
    </row>
    <row r="39" spans="1:24" x14ac:dyDescent="0.25">
      <c r="A39">
        <v>34</v>
      </c>
      <c r="B39">
        <f>COUNTIFS(Opti[FC_Opt_trouvé],"=VRAI",Opti[FC_Temps],"&lt;="&amp;$A39)</f>
        <v>10</v>
      </c>
      <c r="C39">
        <f>COUNTIFS(Opti[FC_AC_Opt_trouvé],"=VRAI",Opti[FC_AC_Temps],"&lt;="&amp;$A39)</f>
        <v>24</v>
      </c>
      <c r="D39">
        <f>COUNTIFS(Opti[FC_AC_30_Opt_trouvé],"=VRAI",Opti[FC_AC_30_Temps],"&lt;="&amp;$A39)</f>
        <v>25</v>
      </c>
      <c r="E39">
        <f>COUNTIFS(Opti[DS_Opt_trouvé],"=VRAI",Opti[DS_Temps],"&lt;="&amp;$A39)</f>
        <v>12</v>
      </c>
      <c r="G39">
        <f>VLOOKUP($H39,Opti[],4,FALSE)</f>
        <v>32977350</v>
      </c>
      <c r="H39" t="s">
        <v>73</v>
      </c>
      <c r="I39">
        <f>VLOOKUP($H39,Opti[],19,FALSE)</f>
        <v>600.002852201461</v>
      </c>
      <c r="J39">
        <f>VLOOKUP($H39,Opti[],26,FALSE)</f>
        <v>600.00235128402699</v>
      </c>
      <c r="K39">
        <f>VLOOKUP($H39,Opti[],33,FALSE)</f>
        <v>600.002541542053</v>
      </c>
      <c r="L39">
        <f>VLOOKUP($H39,Opti[],12,FALSE)</f>
        <v>600.98006176948502</v>
      </c>
      <c r="M39">
        <f>VLOOKUP($H39,Opti[],17,FALSE)</f>
        <v>3</v>
      </c>
      <c r="N39">
        <f>VLOOKUP($H39,Opti[],24,FALSE)</f>
        <v>3</v>
      </c>
      <c r="O39">
        <f>VLOOKUP($H39,Opti[],31,FALSE)</f>
        <v>3</v>
      </c>
      <c r="P39">
        <f>VLOOKUP($H39,Opti[],10,FALSE)</f>
        <v>4</v>
      </c>
      <c r="R39" t="s">
        <v>73</v>
      </c>
      <c r="S39" t="str">
        <f>VLOOKUP(R39,Graphes[],2,FALSE)</f>
        <v>?</v>
      </c>
      <c r="T39">
        <f>VLOOKUP(R39,Graphes[],6,FALSE)</f>
        <v>15</v>
      </c>
    </row>
    <row r="40" spans="1:24" x14ac:dyDescent="0.25">
      <c r="A40">
        <v>47</v>
      </c>
      <c r="B40">
        <f>COUNTIFS(Opti[FC_Opt_trouvé],"=VRAI",Opti[FC_Temps],"&lt;="&amp;$A40)</f>
        <v>10</v>
      </c>
      <c r="C40">
        <f>COUNTIFS(Opti[FC_AC_Opt_trouvé],"=VRAI",Opti[FC_AC_Temps],"&lt;="&amp;$A40)</f>
        <v>24</v>
      </c>
      <c r="D40">
        <f>COUNTIFS(Opti[FC_AC_30_Opt_trouvé],"=VRAI",Opti[FC_AC_30_Temps],"&lt;="&amp;$A40)</f>
        <v>26</v>
      </c>
      <c r="E40">
        <f>COUNTIFS(Opti[DS_Opt_trouvé],"=VRAI",Opti[DS_Temps],"&lt;="&amp;$A40)</f>
        <v>12</v>
      </c>
      <c r="G40">
        <f>VLOOKUP($H40,Opti[],4,FALSE)</f>
        <v>38447360</v>
      </c>
      <c r="H40" t="s">
        <v>67</v>
      </c>
      <c r="I40">
        <f>VLOOKUP($H40,Opti[],19,FALSE)</f>
        <v>600.00181174278202</v>
      </c>
      <c r="J40">
        <f>VLOOKUP($H40,Opti[],26,FALSE)</f>
        <v>72.079425334930406</v>
      </c>
      <c r="K40">
        <f>VLOOKUP($H40,Opti[],33,FALSE)</f>
        <v>35.2061574459075</v>
      </c>
      <c r="L40">
        <f>VLOOKUP($H40,Opti[],12,FALSE)</f>
        <v>602.10245442390396</v>
      </c>
      <c r="M40">
        <f>VLOOKUP($H40,Opti[],17,FALSE)</f>
        <v>2</v>
      </c>
      <c r="N40">
        <f>VLOOKUP($H40,Opti[],24,FALSE)</f>
        <v>2</v>
      </c>
      <c r="O40">
        <f>VLOOKUP($H40,Opti[],31,FALSE)</f>
        <v>2</v>
      </c>
      <c r="P40">
        <f>VLOOKUP($H40,Opti[],10,FALSE)</f>
        <v>2</v>
      </c>
      <c r="R40" t="s">
        <v>67</v>
      </c>
      <c r="S40">
        <f>VLOOKUP(R40,Graphes[],2,FALSE)</f>
        <v>49</v>
      </c>
      <c r="T40">
        <f>VLOOKUP(R40,Graphes[],6,FALSE)</f>
        <v>46</v>
      </c>
    </row>
    <row r="41" spans="1:24" x14ac:dyDescent="0.25">
      <c r="A41">
        <v>56.2</v>
      </c>
      <c r="B41">
        <f>COUNTIFS(Opti[FC_Opt_trouvé],"=VRAI",Opti[FC_Temps],"&lt;="&amp;$A41)</f>
        <v>10</v>
      </c>
      <c r="C41">
        <f>COUNTIFS(Opti[FC_AC_Opt_trouvé],"=VRAI",Opti[FC_AC_Temps],"&lt;="&amp;$A41)</f>
        <v>24</v>
      </c>
      <c r="D41">
        <f>COUNTIFS(Opti[FC_AC_30_Opt_trouvé],"=VRAI",Opti[FC_AC_30_Temps],"&lt;="&amp;$A41)</f>
        <v>26</v>
      </c>
      <c r="E41">
        <f>COUNTIFS(Opti[DS_Opt_trouvé],"=VRAI",Opti[DS_Temps],"&lt;="&amp;$A41)</f>
        <v>13</v>
      </c>
      <c r="G41">
        <f>VLOOKUP($H41,Opti[],4,FALSE)</f>
        <v>39676698</v>
      </c>
      <c r="H41" t="s">
        <v>40</v>
      </c>
      <c r="I41">
        <f>VLOOKUP($H41,Opti[],19,FALSE)</f>
        <v>600.00078296661297</v>
      </c>
      <c r="J41">
        <f>VLOOKUP($H41,Opti[],26,FALSE)</f>
        <v>38.7822649478912</v>
      </c>
      <c r="K41">
        <f>VLOOKUP($H41,Opti[],33,FALSE)</f>
        <v>3.2484240531921298</v>
      </c>
      <c r="L41">
        <f>VLOOKUP($H41,Opti[],12,FALSE)</f>
        <v>603.44219565391495</v>
      </c>
      <c r="M41">
        <f>VLOOKUP($H41,Opti[],17,FALSE)</f>
        <v>3</v>
      </c>
      <c r="N41">
        <f>VLOOKUP($H41,Opti[],24,FALSE)</f>
        <v>2</v>
      </c>
      <c r="O41">
        <f>VLOOKUP($H41,Opti[],31,FALSE)</f>
        <v>2</v>
      </c>
      <c r="P41">
        <f>VLOOKUP($H41,Opti[],10,FALSE)</f>
        <v>3</v>
      </c>
      <c r="R41" t="s">
        <v>40</v>
      </c>
      <c r="S41">
        <f>VLOOKUP(R41,Graphes[],2,FALSE)</f>
        <v>42</v>
      </c>
      <c r="T41">
        <f>VLOOKUP(R41,Graphes[],6,FALSE)</f>
        <v>35</v>
      </c>
    </row>
    <row r="42" spans="1:24" x14ac:dyDescent="0.25">
      <c r="A42">
        <v>60.1</v>
      </c>
      <c r="B42">
        <f>COUNTIFS(Opti[FC_Opt_trouvé],"=VRAI",Opti[FC_Temps],"&lt;="&amp;$A42)</f>
        <v>10</v>
      </c>
      <c r="C42">
        <f>COUNTIFS(Opti[FC_AC_Opt_trouvé],"=VRAI",Opti[FC_AC_Temps],"&lt;="&amp;$A42)</f>
        <v>25</v>
      </c>
      <c r="D42">
        <f>COUNTIFS(Opti[FC_AC_30_Opt_trouvé],"=VRAI",Opti[FC_AC_30_Temps],"&lt;="&amp;$A42)</f>
        <v>26</v>
      </c>
      <c r="E42">
        <f>COUNTIFS(Opti[DS_Opt_trouvé],"=VRAI",Opti[DS_Temps],"&lt;="&amp;$A42)</f>
        <v>13</v>
      </c>
      <c r="G42">
        <f>VLOOKUP($H42,Opti[],4,FALSE)</f>
        <v>43960777</v>
      </c>
      <c r="H42" t="s">
        <v>71</v>
      </c>
      <c r="I42">
        <f>VLOOKUP($H42,Opti[],19,FALSE)</f>
        <v>600.00523543357804</v>
      </c>
      <c r="J42">
        <f>VLOOKUP($H42,Opti[],26,FALSE)</f>
        <v>600.00573396682705</v>
      </c>
      <c r="K42">
        <f>VLOOKUP($H42,Opti[],33,FALSE)</f>
        <v>600.00355958938599</v>
      </c>
      <c r="L42">
        <f>VLOOKUP($H42,Opti[],12,FALSE)</f>
        <v>600.20188379287697</v>
      </c>
      <c r="M42">
        <f>VLOOKUP($H42,Opti[],17,FALSE)</f>
        <v>2</v>
      </c>
      <c r="N42">
        <f>VLOOKUP($H42,Opti[],24,FALSE)</f>
        <v>3</v>
      </c>
      <c r="O42">
        <f>VLOOKUP($H42,Opti[],31,FALSE)</f>
        <v>4</v>
      </c>
      <c r="P42">
        <f>VLOOKUP($H42,Opti[],10,FALSE)</f>
        <v>3</v>
      </c>
      <c r="R42" t="s">
        <v>71</v>
      </c>
      <c r="S42">
        <f>VLOOKUP(R42,Graphes[],2,FALSE)</f>
        <v>5</v>
      </c>
      <c r="T42">
        <f>VLOOKUP(R42,Graphes[],6,FALSE)</f>
        <v>5</v>
      </c>
    </row>
    <row r="43" spans="1:24" x14ac:dyDescent="0.25">
      <c r="A43">
        <v>71.3</v>
      </c>
      <c r="B43">
        <f>COUNTIFS(Opti[FC_Opt_trouvé],"=VRAI",Opti[FC_Temps],"&lt;="&amp;$A43)</f>
        <v>10</v>
      </c>
      <c r="C43">
        <f>COUNTIFS(Opti[FC_AC_Opt_trouvé],"=VRAI",Opti[FC_AC_Temps],"&lt;="&amp;$A43)</f>
        <v>25</v>
      </c>
      <c r="D43">
        <f>COUNTIFS(Opti[FC_AC_30_Opt_trouvé],"=VRAI",Opti[FC_AC_30_Temps],"&lt;="&amp;$A43)</f>
        <v>27</v>
      </c>
      <c r="E43">
        <f>COUNTIFS(Opti[DS_Opt_trouvé],"=VRAI",Opti[DS_Temps],"&lt;="&amp;$A43)</f>
        <v>13</v>
      </c>
      <c r="G43">
        <f>VLOOKUP($H43,Opti[],4,FALSE)</f>
        <v>44640000</v>
      </c>
      <c r="H43" t="s">
        <v>74</v>
      </c>
      <c r="I43">
        <f>VLOOKUP($H43,Opti[],19,FALSE)</f>
        <v>600.00343108177105</v>
      </c>
      <c r="J43">
        <f>VLOOKUP($H43,Opti[],26,FALSE)</f>
        <v>600.00294685363701</v>
      </c>
      <c r="K43">
        <f>VLOOKUP($H43,Opti[],33,FALSE)</f>
        <v>600.00221204757599</v>
      </c>
      <c r="L43">
        <f>VLOOKUP($H43,Opti[],12,FALSE)</f>
        <v>600.62064647674504</v>
      </c>
      <c r="M43">
        <f>VLOOKUP($H43,Opti[],17,FALSE)</f>
        <v>4</v>
      </c>
      <c r="N43">
        <f>VLOOKUP($H43,Opti[],24,FALSE)</f>
        <v>4</v>
      </c>
      <c r="O43">
        <f>VLOOKUP($H43,Opti[],31,FALSE)</f>
        <v>4</v>
      </c>
      <c r="P43">
        <f>VLOOKUP($H43,Opti[],10,FALSE)</f>
        <v>6</v>
      </c>
      <c r="R43" t="s">
        <v>74</v>
      </c>
      <c r="S43" t="str">
        <f>VLOOKUP(R43,Graphes[],2,FALSE)</f>
        <v>?</v>
      </c>
      <c r="T43">
        <f>VLOOKUP(R43,Graphes[],6,FALSE)</f>
        <v>16</v>
      </c>
    </row>
    <row r="44" spans="1:24" x14ac:dyDescent="0.25">
      <c r="A44">
        <v>74.900000000000006</v>
      </c>
      <c r="B44">
        <f>COUNTIFS(Opti[FC_Opt_trouvé],"=VRAI",Opti[FC_Temps],"&lt;="&amp;$A44)</f>
        <v>10</v>
      </c>
      <c r="C44">
        <f>COUNTIFS(Opti[FC_AC_Opt_trouvé],"=VRAI",Opti[FC_AC_Temps],"&lt;="&amp;$A44)</f>
        <v>26</v>
      </c>
      <c r="D44">
        <f>COUNTIFS(Opti[FC_AC_30_Opt_trouvé],"=VRAI",Opti[FC_AC_30_Temps],"&lt;="&amp;$A44)</f>
        <v>27</v>
      </c>
      <c r="E44">
        <f>COUNTIFS(Opti[DS_Opt_trouvé],"=VRAI",Opti[DS_Temps],"&lt;="&amp;$A44)</f>
        <v>13</v>
      </c>
      <c r="G44">
        <f>VLOOKUP($H44,Opti[],4,FALSE)</f>
        <v>46405467</v>
      </c>
      <c r="H44" t="s">
        <v>72</v>
      </c>
      <c r="I44">
        <f>VLOOKUP($H44,Opti[],19,FALSE)</f>
        <v>600.036569595336</v>
      </c>
      <c r="J44">
        <f>VLOOKUP($H44,Opti[],26,FALSE)</f>
        <v>0.44627714157104398</v>
      </c>
      <c r="K44">
        <f>VLOOKUP($H44,Opti[],33,FALSE)</f>
        <v>0.21412992477416901</v>
      </c>
      <c r="L44">
        <f>VLOOKUP($H44,Opti[],12,FALSE)</f>
        <v>600.70428371429398</v>
      </c>
      <c r="M44">
        <f>VLOOKUP($H44,Opti[],17,FALSE)</f>
        <v>3</v>
      </c>
      <c r="N44">
        <f>VLOOKUP($H44,Opti[],24,FALSE)</f>
        <v>6</v>
      </c>
      <c r="O44">
        <f>VLOOKUP($H44,Opti[],31,FALSE)</f>
        <v>6</v>
      </c>
      <c r="P44">
        <f>VLOOKUP($H44,Opti[],10,FALSE)</f>
        <v>4</v>
      </c>
      <c r="R44" t="s">
        <v>72</v>
      </c>
      <c r="S44">
        <f>VLOOKUP(R44,Graphes[],2,FALSE)</f>
        <v>5</v>
      </c>
      <c r="T44">
        <f>VLOOKUP(R44,Graphes[],6,FALSE)</f>
        <v>5</v>
      </c>
    </row>
    <row r="45" spans="1:24" x14ac:dyDescent="0.25">
      <c r="A45">
        <v>84</v>
      </c>
      <c r="B45">
        <f>COUNTIFS(Opti[FC_Opt_trouvé],"=VRAI",Opti[FC_Temps],"&lt;="&amp;$A45)</f>
        <v>10</v>
      </c>
      <c r="C45">
        <f>COUNTIFS(Opti[FC_AC_Opt_trouvé],"=VRAI",Opti[FC_AC_Temps],"&lt;="&amp;$A45)</f>
        <v>27</v>
      </c>
      <c r="D45">
        <f>COUNTIFS(Opti[FC_AC_30_Opt_trouvé],"=VRAI",Opti[FC_AC_30_Temps],"&lt;="&amp;$A45)</f>
        <v>27</v>
      </c>
      <c r="E45">
        <f>COUNTIFS(Opti[DS_Opt_trouvé],"=VRAI",Opti[DS_Temps],"&lt;="&amp;$A45)</f>
        <v>13</v>
      </c>
      <c r="G45">
        <f>VLOOKUP($H45,Opti[],4,FALSE)</f>
        <v>49563720</v>
      </c>
      <c r="H45" t="s">
        <v>45</v>
      </c>
      <c r="I45">
        <f>VLOOKUP($H45,Opti[],19,FALSE)</f>
        <v>600.00188612937905</v>
      </c>
      <c r="J45">
        <f>VLOOKUP($H45,Opti[],26,FALSE)</f>
        <v>600.00883889198303</v>
      </c>
      <c r="K45">
        <f>VLOOKUP($H45,Opti[],33,FALSE)</f>
        <v>600.00030303001404</v>
      </c>
      <c r="L45">
        <f>VLOOKUP($H45,Opti[],12,FALSE)</f>
        <v>604.61383175849903</v>
      </c>
      <c r="M45">
        <f>VLOOKUP($H45,Opti[],17,FALSE)</f>
        <v>2</v>
      </c>
      <c r="N45">
        <f>VLOOKUP($H45,Opti[],24,FALSE)</f>
        <v>2</v>
      </c>
      <c r="O45">
        <f>VLOOKUP($H45,Opti[],31,FALSE)</f>
        <v>2</v>
      </c>
      <c r="P45">
        <f>VLOOKUP($H45,Opti[],10,FALSE)</f>
        <v>2</v>
      </c>
      <c r="R45" t="s">
        <v>45</v>
      </c>
      <c r="S45">
        <f>VLOOKUP(R45,Graphes[],2,FALSE)</f>
        <v>49</v>
      </c>
      <c r="T45">
        <f>VLOOKUP(R45,Graphes[],6,FALSE)</f>
        <v>35</v>
      </c>
    </row>
    <row r="46" spans="1:24" x14ac:dyDescent="0.25">
      <c r="A46">
        <v>85.1</v>
      </c>
      <c r="B46">
        <f>COUNTIFS(Opti[FC_Opt_trouvé],"=VRAI",Opti[FC_Temps],"&lt;="&amp;$A46)</f>
        <v>10</v>
      </c>
      <c r="C46">
        <f>COUNTIFS(Opti[FC_AC_Opt_trouvé],"=VRAI",Opti[FC_AC_Temps],"&lt;="&amp;$A46)</f>
        <v>27</v>
      </c>
      <c r="D46">
        <f>COUNTIFS(Opti[FC_AC_30_Opt_trouvé],"=VRAI",Opti[FC_AC_30_Temps],"&lt;="&amp;$A46)</f>
        <v>28</v>
      </c>
      <c r="E46">
        <f>COUNTIFS(Opti[DS_Opt_trouvé],"=VRAI",Opti[DS_Temps],"&lt;="&amp;$A46)</f>
        <v>13</v>
      </c>
      <c r="G46">
        <f>VLOOKUP($H46,Opti[],4,FALSE)</f>
        <v>62863722</v>
      </c>
      <c r="H46" t="s">
        <v>69</v>
      </c>
      <c r="I46">
        <f>VLOOKUP($H46,Opti[],19,FALSE)</f>
        <v>600.00240349769501</v>
      </c>
      <c r="J46">
        <f>VLOOKUP($H46,Opti[],26,FALSE)</f>
        <v>0.37927961349487299</v>
      </c>
      <c r="K46">
        <f>VLOOKUP($H46,Opti[],33,FALSE)</f>
        <v>0.40696930885314903</v>
      </c>
      <c r="L46">
        <f>VLOOKUP($H46,Opti[],12,FALSE)</f>
        <v>602.14397764205899</v>
      </c>
      <c r="M46">
        <f>VLOOKUP($H46,Opti[],17,FALSE)</f>
        <v>2</v>
      </c>
      <c r="N46">
        <f>VLOOKUP($H46,Opti[],24,FALSE)</f>
        <v>2</v>
      </c>
      <c r="O46">
        <f>VLOOKUP($H46,Opti[],31,FALSE)</f>
        <v>2</v>
      </c>
      <c r="P46">
        <f>VLOOKUP($H46,Opti[],10,FALSE)</f>
        <v>2</v>
      </c>
      <c r="R46" t="s">
        <v>69</v>
      </c>
      <c r="S46">
        <f>VLOOKUP(R46,Graphes[],2,FALSE)</f>
        <v>30</v>
      </c>
      <c r="T46">
        <f>VLOOKUP(R46,Graphes[],6,FALSE)</f>
        <v>28</v>
      </c>
    </row>
    <row r="47" spans="1:24" x14ac:dyDescent="0.25">
      <c r="A47">
        <v>86.2</v>
      </c>
      <c r="B47">
        <f>COUNTIFS(Opti[FC_Opt_trouvé],"=VRAI",Opti[FC_Temps],"&lt;="&amp;$A47)</f>
        <v>10</v>
      </c>
      <c r="C47">
        <f>COUNTIFS(Opti[FC_AC_Opt_trouvé],"=VRAI",Opti[FC_AC_Temps],"&lt;="&amp;$A47)</f>
        <v>27</v>
      </c>
      <c r="D47">
        <f>COUNTIFS(Opti[FC_AC_30_Opt_trouvé],"=VRAI",Opti[FC_AC_30_Temps],"&lt;="&amp;$A47)</f>
        <v>29</v>
      </c>
      <c r="E47">
        <f>COUNTIFS(Opti[DS_Opt_trouvé],"=VRAI",Opti[DS_Temps],"&lt;="&amp;$A47)</f>
        <v>13</v>
      </c>
      <c r="G47">
        <f>VLOOKUP($H47,Opti[],4,FALSE)</f>
        <v>62883603</v>
      </c>
      <c r="H47" t="s">
        <v>68</v>
      </c>
      <c r="I47">
        <f>VLOOKUP($H47,Opti[],19,FALSE)</f>
        <v>600.002385377883</v>
      </c>
      <c r="J47">
        <f>VLOOKUP($H47,Opti[],26,FALSE)</f>
        <v>0.36902928352355902</v>
      </c>
      <c r="K47">
        <f>VLOOKUP($H47,Opti[],33,FALSE)</f>
        <v>0.40496301651000899</v>
      </c>
      <c r="L47">
        <f>VLOOKUP($H47,Opti[],12,FALSE)</f>
        <v>602.06866168975796</v>
      </c>
      <c r="M47">
        <f>VLOOKUP($H47,Opti[],17,FALSE)</f>
        <v>2</v>
      </c>
      <c r="N47">
        <f>VLOOKUP($H47,Opti[],24,FALSE)</f>
        <v>2</v>
      </c>
      <c r="O47">
        <f>VLOOKUP($H47,Opti[],31,FALSE)</f>
        <v>2</v>
      </c>
      <c r="P47">
        <f>VLOOKUP($H47,Opti[],10,FALSE)</f>
        <v>2</v>
      </c>
      <c r="R47" t="s">
        <v>68</v>
      </c>
      <c r="S47">
        <f>VLOOKUP(R47,Graphes[],2,FALSE)</f>
        <v>30</v>
      </c>
      <c r="T47">
        <f>VLOOKUP(R47,Graphes[],6,FALSE)</f>
        <v>28</v>
      </c>
    </row>
    <row r="48" spans="1:24" x14ac:dyDescent="0.25">
      <c r="A48">
        <v>89.5</v>
      </c>
      <c r="B48">
        <f>COUNTIFS(Opti[FC_Opt_trouvé],"=VRAI",Opti[FC_Temps],"&lt;="&amp;$A48)</f>
        <v>10</v>
      </c>
      <c r="C48">
        <f>COUNTIFS(Opti[FC_AC_Opt_trouvé],"=VRAI",Opti[FC_AC_Temps],"&lt;="&amp;$A48)</f>
        <v>27</v>
      </c>
      <c r="D48">
        <f>COUNTIFS(Opti[FC_AC_30_Opt_trouvé],"=VRAI",Opti[FC_AC_30_Temps],"&lt;="&amp;$A48)</f>
        <v>30</v>
      </c>
      <c r="E48">
        <f>COUNTIFS(Opti[DS_Opt_trouvé],"=VRAI",Opti[DS_Temps],"&lt;="&amp;$A48)</f>
        <v>13</v>
      </c>
      <c r="G48">
        <f>VLOOKUP($H48,Opti[],4,FALSE)</f>
        <v>72777600</v>
      </c>
      <c r="H48" t="s">
        <v>35</v>
      </c>
      <c r="I48">
        <f>VLOOKUP($H48,Opti[],19,FALSE)</f>
        <v>600.00732374191205</v>
      </c>
      <c r="J48">
        <f>VLOOKUP($H48,Opti[],26,FALSE)</f>
        <v>600.00588393211297</v>
      </c>
      <c r="K48">
        <f>VLOOKUP($H48,Opti[],33,FALSE)</f>
        <v>600.00655198097195</v>
      </c>
      <c r="L48">
        <f>VLOOKUP($H48,Opti[],12,FALSE)</f>
        <v>600.74620985984802</v>
      </c>
      <c r="M48">
        <f>VLOOKUP($H48,Opti[],17,FALSE)</f>
        <v>2</v>
      </c>
      <c r="N48">
        <f>VLOOKUP($H48,Opti[],24,FALSE)</f>
        <v>2</v>
      </c>
      <c r="O48">
        <f>VLOOKUP($H48,Opti[],31,FALSE)</f>
        <v>2</v>
      </c>
      <c r="P48">
        <f>VLOOKUP($H48,Opti[],10,FALSE)</f>
        <v>3</v>
      </c>
      <c r="R48" t="s">
        <v>35</v>
      </c>
      <c r="S48">
        <f>VLOOKUP(R48,Graphes[],2,FALSE)</f>
        <v>15</v>
      </c>
      <c r="T48">
        <f>VLOOKUP(R48,Graphes[],6,FALSE)</f>
        <v>15</v>
      </c>
    </row>
    <row r="49" spans="1:20" x14ac:dyDescent="0.25">
      <c r="A49">
        <v>93.2</v>
      </c>
      <c r="B49">
        <f>COUNTIFS(Opti[FC_Opt_trouvé],"=VRAI",Opti[FC_Temps],"&lt;="&amp;$A49)</f>
        <v>10</v>
      </c>
      <c r="C49">
        <f>COUNTIFS(Opti[FC_AC_Opt_trouvé],"=VRAI",Opti[FC_AC_Temps],"&lt;="&amp;$A49)</f>
        <v>28</v>
      </c>
      <c r="D49">
        <f>COUNTIFS(Opti[FC_AC_30_Opt_trouvé],"=VRAI",Opti[FC_AC_30_Temps],"&lt;="&amp;$A49)</f>
        <v>30</v>
      </c>
      <c r="E49">
        <f>COUNTIFS(Opti[DS_Opt_trouvé],"=VRAI",Opti[DS_Temps],"&lt;="&amp;$A49)</f>
        <v>13</v>
      </c>
      <c r="G49">
        <f>VLOOKUP($H49,Opti[],4,FALSE)</f>
        <v>72861436</v>
      </c>
      <c r="H49" t="s">
        <v>41</v>
      </c>
      <c r="I49">
        <f>VLOOKUP($H49,Opti[],19,FALSE)</f>
        <v>600.00077772140503</v>
      </c>
      <c r="J49">
        <f>VLOOKUP($H49,Opti[],26,FALSE)</f>
        <v>600.02833485603298</v>
      </c>
      <c r="K49">
        <f>VLOOKUP($H49,Opti[],33,FALSE)</f>
        <v>51.528680324554401</v>
      </c>
      <c r="L49">
        <f>VLOOKUP($H49,Opti[],12,FALSE)</f>
        <v>600.67033243179299</v>
      </c>
      <c r="M49">
        <f>VLOOKUP($H49,Opti[],17,FALSE)</f>
        <v>2</v>
      </c>
      <c r="N49">
        <f>VLOOKUP($H49,Opti[],24,FALSE)</f>
        <v>2</v>
      </c>
      <c r="O49">
        <f>VLOOKUP($H49,Opti[],31,FALSE)</f>
        <v>2</v>
      </c>
      <c r="P49">
        <f>VLOOKUP($H49,Opti[],10,FALSE)</f>
        <v>2</v>
      </c>
      <c r="R49" t="s">
        <v>41</v>
      </c>
      <c r="S49">
        <f>VLOOKUP(R49,Graphes[],2,FALSE)</f>
        <v>73</v>
      </c>
      <c r="T49">
        <f>VLOOKUP(R49,Graphes[],6,FALSE)</f>
        <v>64</v>
      </c>
    </row>
    <row r="50" spans="1:20" x14ac:dyDescent="0.25">
      <c r="A50">
        <v>189.8</v>
      </c>
      <c r="B50">
        <f>COUNTIFS(Opti[FC_Opt_trouvé],"=VRAI",Opti[FC_Temps],"&lt;="&amp;$A50)</f>
        <v>10</v>
      </c>
      <c r="C50">
        <f>COUNTIFS(Opti[FC_AC_Opt_trouvé],"=VRAI",Opti[FC_AC_Temps],"&lt;="&amp;$A50)</f>
        <v>28</v>
      </c>
      <c r="D50">
        <f>COUNTIFS(Opti[FC_AC_30_Opt_trouvé],"=VRAI",Opti[FC_AC_30_Temps],"&lt;="&amp;$A50)</f>
        <v>31</v>
      </c>
      <c r="E50">
        <f>COUNTIFS(Opti[DS_Opt_trouvé],"=VRAI",Opti[DS_Temps],"&lt;="&amp;$A50)</f>
        <v>13</v>
      </c>
      <c r="G50">
        <f>VLOOKUP($H50,Opti[],4,FALSE)</f>
        <v>80630000</v>
      </c>
      <c r="H50" t="s">
        <v>34</v>
      </c>
      <c r="I50">
        <f>VLOOKUP($H50,Opti[],19,FALSE)</f>
        <v>600.00499057769696</v>
      </c>
      <c r="J50">
        <f>VLOOKUP($H50,Opti[],26,FALSE)</f>
        <v>600.00360202789295</v>
      </c>
      <c r="K50">
        <f>VLOOKUP($H50,Opti[],33,FALSE)</f>
        <v>600.00340938568104</v>
      </c>
      <c r="L50">
        <f>VLOOKUP($H50,Opti[],12,FALSE)</f>
        <v>600.79695272445599</v>
      </c>
      <c r="M50">
        <f>VLOOKUP($H50,Opti[],17,FALSE)</f>
        <v>3</v>
      </c>
      <c r="N50">
        <f>VLOOKUP($H50,Opti[],24,FALSE)</f>
        <v>2</v>
      </c>
      <c r="O50">
        <f>VLOOKUP($H50,Opti[],31,FALSE)</f>
        <v>2</v>
      </c>
      <c r="P50">
        <f>VLOOKUP($H50,Opti[],10,FALSE)</f>
        <v>3</v>
      </c>
      <c r="R50" t="s">
        <v>34</v>
      </c>
      <c r="S50">
        <f>VLOOKUP(R50,Graphes[],2,FALSE)</f>
        <v>15</v>
      </c>
      <c r="T50">
        <f>VLOOKUP(R50,Graphes[],6,FALSE)</f>
        <v>15</v>
      </c>
    </row>
    <row r="51" spans="1:20" x14ac:dyDescent="0.25">
      <c r="A51">
        <v>193.9</v>
      </c>
      <c r="B51">
        <f>COUNTIFS(Opti[FC_Opt_trouvé],"=VRAI",Opti[FC_Temps],"&lt;="&amp;$A51)</f>
        <v>10</v>
      </c>
      <c r="C51">
        <f>COUNTIFS(Opti[FC_AC_Opt_trouvé],"=VRAI",Opti[FC_AC_Temps],"&lt;="&amp;$A51)</f>
        <v>28</v>
      </c>
      <c r="D51">
        <f>COUNTIFS(Opti[FC_AC_30_Opt_trouvé],"=VRAI",Opti[FC_AC_30_Temps],"&lt;="&amp;$A51)</f>
        <v>32</v>
      </c>
      <c r="E51">
        <f>COUNTIFS(Opti[DS_Opt_trouvé],"=VRAI",Opti[DS_Temps],"&lt;="&amp;$A51)</f>
        <v>13</v>
      </c>
      <c r="G51">
        <f>VLOOKUP($H51,Opti[],4,FALSE)</f>
        <v>85039050</v>
      </c>
      <c r="H51" t="s">
        <v>46</v>
      </c>
      <c r="I51">
        <f>VLOOKUP($H51,Opti[],19,FALSE)</f>
        <v>600.00081348419099</v>
      </c>
      <c r="J51">
        <f>VLOOKUP($H51,Opti[],26,FALSE)</f>
        <v>1.42628645896911</v>
      </c>
      <c r="K51">
        <f>VLOOKUP($H51,Opti[],33,FALSE)</f>
        <v>1.88765668869018</v>
      </c>
      <c r="L51">
        <f>VLOOKUP($H51,Opti[],12,FALSE)</f>
        <v>601.59243249893098</v>
      </c>
      <c r="M51">
        <f>VLOOKUP($H51,Opti[],17,FALSE)</f>
        <v>2</v>
      </c>
      <c r="N51">
        <f>VLOOKUP($H51,Opti[],24,FALSE)</f>
        <v>2</v>
      </c>
      <c r="O51">
        <f>VLOOKUP($H51,Opti[],31,FALSE)</f>
        <v>2</v>
      </c>
      <c r="P51">
        <f>VLOOKUP($H51,Opti[],10,FALSE)</f>
        <v>2</v>
      </c>
      <c r="R51" t="s">
        <v>46</v>
      </c>
      <c r="S51">
        <f>VLOOKUP(R51,Graphes[],2,FALSE)</f>
        <v>31</v>
      </c>
      <c r="T51">
        <f>VLOOKUP(R51,Graphes[],6,FALSE)</f>
        <v>30</v>
      </c>
    </row>
    <row r="52" spans="1:20" x14ac:dyDescent="0.25">
      <c r="A52">
        <v>271</v>
      </c>
      <c r="B52">
        <f>COUNTIFS(Opti[FC_Opt_trouvé],"=VRAI",Opti[FC_Temps],"&lt;="&amp;$A52)</f>
        <v>10</v>
      </c>
      <c r="C52">
        <f>COUNTIFS(Opti[FC_AC_Opt_trouvé],"=VRAI",Opti[FC_AC_Temps],"&lt;="&amp;$A52)</f>
        <v>29</v>
      </c>
      <c r="D52">
        <f>COUNTIFS(Opti[FC_AC_30_Opt_trouvé],"=VRAI",Opti[FC_AC_30_Temps],"&lt;="&amp;$A52)</f>
        <v>32</v>
      </c>
      <c r="E52">
        <f>COUNTIFS(Opti[DS_Opt_trouvé],"=VRAI",Opti[DS_Temps],"&lt;="&amp;$A52)</f>
        <v>13</v>
      </c>
      <c r="G52">
        <f>VLOOKUP($H52,Opti[],4,FALSE)</f>
        <v>86899684</v>
      </c>
      <c r="H52" t="s">
        <v>47</v>
      </c>
      <c r="I52">
        <f>VLOOKUP($H52,Opti[],19,FALSE)</f>
        <v>600.00052928924504</v>
      </c>
      <c r="J52">
        <f>VLOOKUP($H52,Opti[],26,FALSE)</f>
        <v>1.78560447692871</v>
      </c>
      <c r="K52">
        <f>VLOOKUP($H52,Opti[],33,FALSE)</f>
        <v>1.67366647720336</v>
      </c>
      <c r="L52">
        <f>VLOOKUP($H52,Opti[],12,FALSE)</f>
        <v>601.60929727554299</v>
      </c>
      <c r="M52">
        <f>VLOOKUP($H52,Opti[],17,FALSE)</f>
        <v>2</v>
      </c>
      <c r="N52">
        <f>VLOOKUP($H52,Opti[],24,FALSE)</f>
        <v>2</v>
      </c>
      <c r="O52">
        <f>VLOOKUP($H52,Opti[],31,FALSE)</f>
        <v>2</v>
      </c>
      <c r="P52">
        <f>VLOOKUP($H52,Opti[],10,FALSE)</f>
        <v>2</v>
      </c>
      <c r="R52" t="s">
        <v>47</v>
      </c>
      <c r="S52">
        <f>VLOOKUP(R52,Graphes[],2,FALSE)</f>
        <v>31</v>
      </c>
      <c r="T52">
        <f>VLOOKUP(R52,Graphes[],6,FALSE)</f>
        <v>30</v>
      </c>
    </row>
    <row r="53" spans="1:20" x14ac:dyDescent="0.25">
      <c r="A53">
        <v>291.39999999999998</v>
      </c>
      <c r="B53">
        <f>COUNTIFS(Opti[FC_Opt_trouvé],"=VRAI",Opti[FC_Temps],"&lt;="&amp;$A53)</f>
        <v>10</v>
      </c>
      <c r="C53">
        <f>COUNTIFS(Opti[FC_AC_Opt_trouvé],"=VRAI",Opti[FC_AC_Temps],"&lt;="&amp;$A53)</f>
        <v>30</v>
      </c>
      <c r="D53">
        <f>COUNTIFS(Opti[FC_AC_30_Opt_trouvé],"=VRAI",Opti[FC_AC_30_Temps],"&lt;="&amp;$A53)</f>
        <v>32</v>
      </c>
      <c r="E53">
        <f>COUNTIFS(Opti[DS_Opt_trouvé],"=VRAI",Opti[DS_Temps],"&lt;="&amp;$A53)</f>
        <v>13</v>
      </c>
      <c r="G53">
        <f>VLOOKUP($H53,Opti[],4,FALSE)</f>
        <v>88761591</v>
      </c>
      <c r="H53" t="s">
        <v>48</v>
      </c>
      <c r="I53">
        <f>VLOOKUP($H53,Opti[],19,FALSE)</f>
        <v>600.00107645988396</v>
      </c>
      <c r="J53">
        <f>VLOOKUP($H53,Opti[],26,FALSE)</f>
        <v>1.48881387710571</v>
      </c>
      <c r="K53">
        <f>VLOOKUP($H53,Opti[],33,FALSE)</f>
        <v>1.6706955432891799</v>
      </c>
      <c r="L53">
        <f>VLOOKUP($H53,Opti[],12,FALSE)</f>
        <v>601.60841202735901</v>
      </c>
      <c r="M53">
        <f>VLOOKUP($H53,Opti[],17,FALSE)</f>
        <v>2</v>
      </c>
      <c r="N53">
        <f>VLOOKUP($H53,Opti[],24,FALSE)</f>
        <v>2</v>
      </c>
      <c r="O53">
        <f>VLOOKUP($H53,Opti[],31,FALSE)</f>
        <v>2</v>
      </c>
      <c r="P53">
        <f>VLOOKUP($H53,Opti[],10,FALSE)</f>
        <v>2</v>
      </c>
      <c r="R53" t="s">
        <v>48</v>
      </c>
      <c r="S53">
        <f>VLOOKUP(R53,Graphes[],2,FALSE)</f>
        <v>31</v>
      </c>
      <c r="T53">
        <f>VLOOKUP(R53,Graphes[],6,FALSE)</f>
        <v>30</v>
      </c>
    </row>
    <row r="54" spans="1:20" x14ac:dyDescent="0.25">
      <c r="A54">
        <v>391.9</v>
      </c>
      <c r="B54">
        <f>COUNTIFS(Opti[FC_Opt_trouvé],"=VRAI",Opti[FC_Temps],"&lt;="&amp;$A54)</f>
        <v>10</v>
      </c>
      <c r="C54">
        <f>COUNTIFS(Opti[FC_AC_Opt_trouvé],"=VRAI",Opti[FC_AC_Temps],"&lt;="&amp;$A54)</f>
        <v>31</v>
      </c>
      <c r="D54">
        <f>COUNTIFS(Opti[FC_AC_30_Opt_trouvé],"=VRAI",Opti[FC_AC_30_Temps],"&lt;="&amp;$A54)</f>
        <v>32</v>
      </c>
      <c r="E54">
        <f>COUNTIFS(Opti[DS_Opt_trouvé],"=VRAI",Opti[DS_Temps],"&lt;="&amp;$A54)</f>
        <v>13</v>
      </c>
      <c r="G54">
        <f>VLOOKUP($H54,Opti[],4,FALSE)</f>
        <v>90572800</v>
      </c>
      <c r="H54" t="s">
        <v>49</v>
      </c>
      <c r="I54">
        <f>VLOOKUP($H54,Opti[],19,FALSE)</f>
        <v>600.00173902511597</v>
      </c>
      <c r="J54">
        <f>VLOOKUP($H54,Opti[],26,FALSE)</f>
        <v>1.7152409553527801</v>
      </c>
      <c r="K54">
        <f>VLOOKUP($H54,Opti[],33,FALSE)</f>
        <v>2.01778221130371</v>
      </c>
      <c r="L54">
        <f>VLOOKUP($H54,Opti[],12,FALSE)</f>
        <v>604.28568577766396</v>
      </c>
      <c r="M54">
        <f>VLOOKUP($H54,Opti[],17,FALSE)</f>
        <v>2</v>
      </c>
      <c r="N54">
        <f>VLOOKUP($H54,Opti[],24,FALSE)</f>
        <v>2</v>
      </c>
      <c r="O54">
        <f>VLOOKUP($H54,Opti[],31,FALSE)</f>
        <v>2</v>
      </c>
      <c r="P54">
        <f>VLOOKUP($H54,Opti[],10,FALSE)</f>
        <v>2</v>
      </c>
      <c r="R54" t="s">
        <v>49</v>
      </c>
      <c r="S54">
        <f>VLOOKUP(R54,Graphes[],2,FALSE)</f>
        <v>31</v>
      </c>
      <c r="T54">
        <f>VLOOKUP(R54,Graphes[],6,FALSE)</f>
        <v>30</v>
      </c>
    </row>
    <row r="55" spans="1:20" x14ac:dyDescent="0.25">
      <c r="A55">
        <v>400</v>
      </c>
      <c r="B55">
        <f>COUNTIFS(Opti[FC_Opt_trouvé],"=VRAI",Opti[FC_Temps],"&lt;="&amp;$A55)</f>
        <v>10</v>
      </c>
      <c r="C55">
        <f>COUNTIFS(Opti[FC_AC_Opt_trouvé],"=VRAI",Opti[FC_AC_Temps],"&lt;="&amp;$A55)</f>
        <v>31</v>
      </c>
      <c r="D55">
        <f>COUNTIFS(Opti[FC_AC_30_Opt_trouvé],"=VRAI",Opti[FC_AC_30_Temps],"&lt;="&amp;$A55)</f>
        <v>32</v>
      </c>
      <c r="E55">
        <f>COUNTIFS(Opti[DS_Opt_trouvé],"=VRAI",Opti[DS_Temps],"&lt;="&amp;$A55)</f>
        <v>13</v>
      </c>
      <c r="G55">
        <f>VLOOKUP($H55,Opti[],4,FALSE)</f>
        <v>95971755</v>
      </c>
      <c r="H55" t="s">
        <v>23</v>
      </c>
      <c r="I55">
        <f>VLOOKUP($H55,Opti[],19,FALSE)</f>
        <v>600.00144743919304</v>
      </c>
      <c r="J55">
        <f>VLOOKUP($H55,Opti[],26,FALSE)</f>
        <v>600.00054216384797</v>
      </c>
      <c r="K55">
        <f>VLOOKUP($H55,Opti[],33,FALSE)</f>
        <v>600.00095129013005</v>
      </c>
      <c r="L55">
        <f>VLOOKUP($H55,Opti[],12,FALSE)</f>
        <v>604.158576726913</v>
      </c>
      <c r="M55">
        <f>VLOOKUP($H55,Opti[],17,FALSE)</f>
        <v>2</v>
      </c>
      <c r="N55">
        <f>VLOOKUP($H55,Opti[],24,FALSE)</f>
        <v>4</v>
      </c>
      <c r="O55">
        <f>VLOOKUP($H55,Opti[],31,FALSE)</f>
        <v>5</v>
      </c>
      <c r="P55">
        <f>VLOOKUP($H55,Opti[],10,FALSE)</f>
        <v>8</v>
      </c>
      <c r="R55" t="s">
        <v>23</v>
      </c>
      <c r="S55" t="str">
        <f>VLOOKUP(R55,Graphes[],2,FALSE)</f>
        <v>?</v>
      </c>
      <c r="T55">
        <f>VLOOKUP(R55,Graphes[],6,FALSE)</f>
        <v>29</v>
      </c>
    </row>
    <row r="56" spans="1:20" x14ac:dyDescent="0.25">
      <c r="G56">
        <f>VLOOKUP($H56,Opti[],4,FALSE)</f>
        <v>100477440</v>
      </c>
      <c r="H56" t="s">
        <v>37</v>
      </c>
      <c r="I56">
        <f>VLOOKUP($H56,Opti[],19,FALSE)</f>
        <v>600.00185394287098</v>
      </c>
      <c r="J56">
        <f>VLOOKUP($H56,Opti[],26,FALSE)</f>
        <v>0.450643301010131</v>
      </c>
      <c r="K56">
        <f>VLOOKUP($H56,Opti[],33,FALSE)</f>
        <v>0.51900243759155196</v>
      </c>
      <c r="L56">
        <f>VLOOKUP($H56,Opti[],12,FALSE)</f>
        <v>601.09294509887695</v>
      </c>
      <c r="M56">
        <f>VLOOKUP($H56,Opti[],17,FALSE)</f>
        <v>2</v>
      </c>
      <c r="N56">
        <f>VLOOKUP($H56,Opti[],24,FALSE)</f>
        <v>2</v>
      </c>
      <c r="O56">
        <f>VLOOKUP($H56,Opti[],31,FALSE)</f>
        <v>2</v>
      </c>
      <c r="P56">
        <f>VLOOKUP($H56,Opti[],10,FALSE)</f>
        <v>2</v>
      </c>
      <c r="R56" t="s">
        <v>37</v>
      </c>
      <c r="S56">
        <f>VLOOKUP(R56,Graphes[],2,FALSE)</f>
        <v>25</v>
      </c>
      <c r="T56">
        <f>VLOOKUP(R56,Graphes[],6,FALSE)</f>
        <v>23</v>
      </c>
    </row>
    <row r="57" spans="1:20" x14ac:dyDescent="0.25">
      <c r="G57">
        <f>VLOOKUP($H57,Opti[],4,FALSE)</f>
        <v>132861744</v>
      </c>
      <c r="H57" t="s">
        <v>36</v>
      </c>
      <c r="I57">
        <f>VLOOKUP($H57,Opti[],19,FALSE)</f>
        <v>600.06738114356995</v>
      </c>
      <c r="J57">
        <f>VLOOKUP($H57,Opti[],26,FALSE)</f>
        <v>0.42369389533996499</v>
      </c>
      <c r="K57">
        <f>VLOOKUP($H57,Opti[],33,FALSE)</f>
        <v>0.47700047492980902</v>
      </c>
      <c r="L57">
        <f>VLOOKUP($H57,Opti[],12,FALSE)</f>
        <v>601.82484602928105</v>
      </c>
      <c r="M57">
        <f>VLOOKUP($H57,Opti[],17,FALSE)</f>
        <v>2</v>
      </c>
      <c r="N57">
        <f>VLOOKUP($H57,Opti[],24,FALSE)</f>
        <v>2</v>
      </c>
      <c r="O57">
        <f>VLOOKUP($H57,Opti[],31,FALSE)</f>
        <v>2</v>
      </c>
      <c r="P57">
        <f>VLOOKUP($H57,Opti[],10,FALSE)</f>
        <v>2</v>
      </c>
      <c r="R57" t="s">
        <v>36</v>
      </c>
      <c r="S57">
        <f>VLOOKUP(R57,Graphes[],2,FALSE)</f>
        <v>25</v>
      </c>
      <c r="T57">
        <f>VLOOKUP(R57,Graphes[],6,FALSE)</f>
        <v>24</v>
      </c>
    </row>
    <row r="58" spans="1:20" x14ac:dyDescent="0.25">
      <c r="G58">
        <f>VLOOKUP($H58,Opti[],4,FALSE)</f>
        <v>685408372</v>
      </c>
      <c r="H58" t="s">
        <v>70</v>
      </c>
      <c r="I58">
        <f>VLOOKUP($H58,Opti[],19,FALSE)</f>
        <v>600.290383338928</v>
      </c>
      <c r="J58">
        <f>VLOOKUP($H58,Opti[],26,FALSE)</f>
        <v>600.00917315483002</v>
      </c>
      <c r="K58">
        <f>VLOOKUP($H58,Opti[],33,FALSE)</f>
        <v>600.01352572441101</v>
      </c>
      <c r="L58">
        <f>VLOOKUP($H58,Opti[],12,FALSE)</f>
        <v>644.87157058715798</v>
      </c>
      <c r="M58">
        <f>VLOOKUP($H58,Opti[],17,FALSE)</f>
        <v>2</v>
      </c>
      <c r="N58">
        <f>VLOOKUP($H58,Opti[],24,FALSE)</f>
        <v>2</v>
      </c>
      <c r="O58">
        <f>VLOOKUP($H58,Opti[],31,FALSE)</f>
        <v>2</v>
      </c>
      <c r="P58">
        <f>VLOOKUP($H58,Opti[],10,FALSE)</f>
        <v>2</v>
      </c>
      <c r="R58" t="s">
        <v>70</v>
      </c>
      <c r="S58">
        <f>VLOOKUP(R58,Graphes[],2,FALSE)</f>
        <v>65</v>
      </c>
      <c r="T58">
        <f>VLOOKUP(R58,Graphes[],6,FALSE)</f>
        <v>44</v>
      </c>
    </row>
    <row r="59" spans="1:20" x14ac:dyDescent="0.25">
      <c r="G59">
        <f>VLOOKUP($H59,Opti[],4,FALSE)</f>
        <v>1004211060</v>
      </c>
      <c r="H59" t="s">
        <v>28</v>
      </c>
      <c r="I59">
        <f>VLOOKUP($H59,Opti[],19,FALSE)</f>
        <v>600.00128197669903</v>
      </c>
      <c r="J59">
        <f>VLOOKUP($H59,Opti[],26,FALSE)</f>
        <v>600.00300908088605</v>
      </c>
      <c r="K59">
        <f>VLOOKUP($H59,Opti[],33,FALSE)</f>
        <v>644.43951463699295</v>
      </c>
      <c r="L59">
        <f>VLOOKUP($H59,Opti[],12,FALSE)</f>
        <v>600.28947067260697</v>
      </c>
      <c r="M59">
        <f>VLOOKUP($H59,Opti[],17,FALSE)</f>
        <v>2</v>
      </c>
      <c r="N59">
        <f>VLOOKUP($H59,Opti[],24,FALSE)</f>
        <v>2</v>
      </c>
      <c r="O59">
        <f>VLOOKUP($H59,Opti[],31,FALSE)</f>
        <v>2</v>
      </c>
      <c r="P59">
        <f>VLOOKUP($H59,Opti[],10,FALSE)</f>
        <v>2</v>
      </c>
      <c r="R59" t="s">
        <v>28</v>
      </c>
      <c r="S59">
        <f>VLOOKUP(R59,Graphes[],2,FALSE)</f>
        <v>30</v>
      </c>
      <c r="T59">
        <f>VLOOKUP(R59,Graphes[],6,FALSE)</f>
        <v>27</v>
      </c>
    </row>
    <row r="60" spans="1:20" x14ac:dyDescent="0.25">
      <c r="G60">
        <f>VLOOKUP($H60,Opti[],4,FALSE)</f>
        <v>1006980467</v>
      </c>
      <c r="H60" t="s">
        <v>29</v>
      </c>
      <c r="I60">
        <f>VLOOKUP($H60,Opti[],19,FALSE)</f>
        <v>600.00243091583195</v>
      </c>
      <c r="J60">
        <f>VLOOKUP($H60,Opti[],26,FALSE)</f>
        <v>600.00302171707096</v>
      </c>
      <c r="K60">
        <f>VLOOKUP($H60,Opti[],33,FALSE)</f>
        <v>635.42285990715004</v>
      </c>
      <c r="L60">
        <f>VLOOKUP($H60,Opti[],12,FALSE)</f>
        <v>600.24803709983803</v>
      </c>
      <c r="M60">
        <f>VLOOKUP($H60,Opti[],17,FALSE)</f>
        <v>2</v>
      </c>
      <c r="N60">
        <f>VLOOKUP($H60,Opti[],24,FALSE)</f>
        <v>2</v>
      </c>
      <c r="O60">
        <f>VLOOKUP($H60,Opti[],31,FALSE)</f>
        <v>2</v>
      </c>
      <c r="P60">
        <f>VLOOKUP($H60,Opti[],10,FALSE)</f>
        <v>2</v>
      </c>
      <c r="R60" t="s">
        <v>29</v>
      </c>
      <c r="S60">
        <f>VLOOKUP(R60,Graphes[],2,FALSE)</f>
        <v>30</v>
      </c>
      <c r="T60">
        <f>VLOOKUP(R60,Graphes[],6,FALSE)</f>
        <v>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9D8F-4F58-4E61-BF89-CB6D087EFD73}">
  <dimension ref="A1"/>
  <sheetViews>
    <sheetView workbookViewId="0">
      <selection activeCell="A43" sqref="A43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7CF8-4C1C-4169-B75F-670A7E21E6D7}">
  <dimension ref="A1"/>
  <sheetViews>
    <sheetView topLeftCell="C1" workbookViewId="0">
      <selection activeCell="AE18" sqref="AE1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 sat</vt:lpstr>
      <vt:lpstr>analyse sat</vt:lpstr>
      <vt:lpstr>graphes sat 1</vt:lpstr>
      <vt:lpstr>graphes sat 2</vt:lpstr>
      <vt:lpstr>data opti</vt:lpstr>
      <vt:lpstr>analyse opti</vt:lpstr>
      <vt:lpstr>graphes opti 1</vt:lpstr>
      <vt:lpstr>graphes opti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2019-03-19T13:37:56Z</dcterms:modified>
</cp:coreProperties>
</file>