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home_utils\test_ml\"/>
    </mc:Choice>
  </mc:AlternateContent>
  <bookViews>
    <workbookView xWindow="0" yWindow="0" windowWidth="28800" windowHeight="12495"/>
  </bookViews>
  <sheets>
    <sheet name="Лист1" sheetId="1" r:id="rId1"/>
  </sheets>
  <definedNames>
    <definedName name="_xlnm._FilterDatabase" localSheetId="0" hidden="1">Лист1!$A$1:$R$105</definedName>
  </definedNames>
  <calcPr calcId="162913"/>
</workbook>
</file>

<file path=xl/calcChain.xml><?xml version="1.0" encoding="utf-8"?>
<calcChain xmlns="http://schemas.openxmlformats.org/spreadsheetml/2006/main">
  <c r="T2" i="1" l="1"/>
  <c r="U2" i="1"/>
  <c r="U12" i="1"/>
  <c r="S105" i="1"/>
  <c r="J105" i="1"/>
  <c r="G105" i="1"/>
  <c r="H105" i="1" s="1"/>
  <c r="K105" i="1" s="1"/>
  <c r="F105" i="1"/>
  <c r="S104" i="1"/>
  <c r="J104" i="1"/>
  <c r="G104" i="1"/>
  <c r="H104" i="1" s="1"/>
  <c r="K104" i="1" s="1"/>
  <c r="F104" i="1"/>
  <c r="S103" i="1"/>
  <c r="J103" i="1"/>
  <c r="G103" i="1"/>
  <c r="H103" i="1" s="1"/>
  <c r="K103" i="1" s="1"/>
  <c r="S102" i="1"/>
  <c r="T102" i="1" s="1"/>
  <c r="U102" i="1" s="1"/>
  <c r="J102" i="1"/>
  <c r="F102" i="1"/>
  <c r="G102" i="1" s="1"/>
  <c r="H102" i="1" s="1"/>
  <c r="K102" i="1" s="1"/>
  <c r="S101" i="1"/>
  <c r="T101" i="1" s="1"/>
  <c r="U101" i="1" s="1"/>
  <c r="J101" i="1"/>
  <c r="G101" i="1"/>
  <c r="H101" i="1" s="1"/>
  <c r="K101" i="1" s="1"/>
  <c r="S100" i="1"/>
  <c r="J100" i="1"/>
  <c r="H100" i="1"/>
  <c r="K100" i="1" s="1"/>
  <c r="T100" i="1" s="1"/>
  <c r="U100" i="1" s="1"/>
  <c r="G100" i="1"/>
  <c r="S99" i="1"/>
  <c r="J99" i="1"/>
  <c r="H99" i="1"/>
  <c r="K99" i="1" s="1"/>
  <c r="T99" i="1" s="1"/>
  <c r="U99" i="1" s="1"/>
  <c r="G99" i="1"/>
  <c r="F99" i="1"/>
  <c r="S98" i="1"/>
  <c r="J98" i="1"/>
  <c r="H98" i="1"/>
  <c r="K98" i="1" s="1"/>
  <c r="T98" i="1" s="1"/>
  <c r="U98" i="1" s="1"/>
  <c r="G98" i="1"/>
  <c r="F98" i="1"/>
  <c r="S97" i="1"/>
  <c r="J97" i="1"/>
  <c r="H97" i="1"/>
  <c r="K97" i="1" s="1"/>
  <c r="T97" i="1" s="1"/>
  <c r="U97" i="1" s="1"/>
  <c r="G97" i="1"/>
  <c r="S96" i="1"/>
  <c r="J96" i="1"/>
  <c r="G96" i="1"/>
  <c r="H96" i="1" s="1"/>
  <c r="K96" i="1" s="1"/>
  <c r="F96" i="1"/>
  <c r="S95" i="1"/>
  <c r="J95" i="1"/>
  <c r="G95" i="1"/>
  <c r="H95" i="1" s="1"/>
  <c r="K95" i="1" s="1"/>
  <c r="F95" i="1"/>
  <c r="S94" i="1"/>
  <c r="J94" i="1"/>
  <c r="G94" i="1"/>
  <c r="H94" i="1" s="1"/>
  <c r="K94" i="1" s="1"/>
  <c r="F94" i="1"/>
  <c r="S93" i="1"/>
  <c r="J93" i="1"/>
  <c r="G93" i="1"/>
  <c r="H93" i="1" s="1"/>
  <c r="K93" i="1" s="1"/>
  <c r="F93" i="1"/>
  <c r="S92" i="1"/>
  <c r="J92" i="1"/>
  <c r="G92" i="1"/>
  <c r="H92" i="1" s="1"/>
  <c r="K92" i="1" s="1"/>
  <c r="F92" i="1"/>
  <c r="S91" i="1"/>
  <c r="J91" i="1"/>
  <c r="G91" i="1"/>
  <c r="H91" i="1" s="1"/>
  <c r="K91" i="1" s="1"/>
  <c r="F91" i="1"/>
  <c r="S90" i="1"/>
  <c r="J90" i="1"/>
  <c r="G90" i="1"/>
  <c r="H90" i="1" s="1"/>
  <c r="K90" i="1" s="1"/>
  <c r="F90" i="1"/>
  <c r="S89" i="1"/>
  <c r="J89" i="1"/>
  <c r="G89" i="1"/>
  <c r="H89" i="1" s="1"/>
  <c r="K89" i="1" s="1"/>
  <c r="F89" i="1"/>
  <c r="S88" i="1"/>
  <c r="J88" i="1"/>
  <c r="G88" i="1"/>
  <c r="H88" i="1" s="1"/>
  <c r="K88" i="1" s="1"/>
  <c r="F88" i="1"/>
  <c r="S87" i="1"/>
  <c r="J87" i="1"/>
  <c r="G87" i="1"/>
  <c r="H87" i="1" s="1"/>
  <c r="K87" i="1" s="1"/>
  <c r="F87" i="1"/>
  <c r="S86" i="1"/>
  <c r="J86" i="1"/>
  <c r="G86" i="1"/>
  <c r="H86" i="1" s="1"/>
  <c r="K86" i="1" s="1"/>
  <c r="F86" i="1"/>
  <c r="S85" i="1"/>
  <c r="J85" i="1"/>
  <c r="G85" i="1"/>
  <c r="H85" i="1" s="1"/>
  <c r="K85" i="1" s="1"/>
  <c r="F85" i="1"/>
  <c r="S84" i="1"/>
  <c r="J84" i="1"/>
  <c r="G84" i="1"/>
  <c r="H84" i="1" s="1"/>
  <c r="K84" i="1" s="1"/>
  <c r="F84" i="1"/>
  <c r="S83" i="1"/>
  <c r="J83" i="1"/>
  <c r="G83" i="1"/>
  <c r="H83" i="1" s="1"/>
  <c r="K83" i="1" s="1"/>
  <c r="F83" i="1"/>
  <c r="S82" i="1"/>
  <c r="J82" i="1"/>
  <c r="G82" i="1"/>
  <c r="H82" i="1" s="1"/>
  <c r="K82" i="1" s="1"/>
  <c r="F82" i="1"/>
  <c r="S81" i="1"/>
  <c r="J81" i="1"/>
  <c r="G81" i="1"/>
  <c r="H81" i="1" s="1"/>
  <c r="K81" i="1" s="1"/>
  <c r="S80" i="1"/>
  <c r="T80" i="1" s="1"/>
  <c r="U80" i="1" s="1"/>
  <c r="J80" i="1"/>
  <c r="G80" i="1"/>
  <c r="H80" i="1" s="1"/>
  <c r="K80" i="1" s="1"/>
  <c r="S79" i="1"/>
  <c r="T79" i="1" s="1"/>
  <c r="U79" i="1" s="1"/>
  <c r="J79" i="1"/>
  <c r="G79" i="1"/>
  <c r="H79" i="1" s="1"/>
  <c r="K79" i="1" s="1"/>
  <c r="S78" i="1"/>
  <c r="J78" i="1"/>
  <c r="H78" i="1"/>
  <c r="K78" i="1" s="1"/>
  <c r="T78" i="1" s="1"/>
  <c r="U78" i="1" s="1"/>
  <c r="G78" i="1"/>
  <c r="S77" i="1"/>
  <c r="J77" i="1"/>
  <c r="G77" i="1"/>
  <c r="H77" i="1" s="1"/>
  <c r="K77" i="1" s="1"/>
  <c r="F77" i="1"/>
  <c r="S76" i="1"/>
  <c r="J76" i="1"/>
  <c r="G76" i="1"/>
  <c r="H76" i="1" s="1"/>
  <c r="K76" i="1" s="1"/>
  <c r="S75" i="1"/>
  <c r="K75" i="1"/>
  <c r="T75" i="1" s="1"/>
  <c r="U75" i="1" s="1"/>
  <c r="J75" i="1"/>
  <c r="H75" i="1"/>
  <c r="G75" i="1"/>
  <c r="S74" i="1"/>
  <c r="J74" i="1"/>
  <c r="G74" i="1"/>
  <c r="H74" i="1" s="1"/>
  <c r="K74" i="1" s="1"/>
  <c r="S73" i="1"/>
  <c r="J73" i="1"/>
  <c r="F73" i="1"/>
  <c r="G73" i="1" s="1"/>
  <c r="H73" i="1" s="1"/>
  <c r="K73" i="1" s="1"/>
  <c r="T73" i="1" s="1"/>
  <c r="U73" i="1" s="1"/>
  <c r="S72" i="1"/>
  <c r="J72" i="1"/>
  <c r="F72" i="1"/>
  <c r="G72" i="1" s="1"/>
  <c r="H72" i="1" s="1"/>
  <c r="K72" i="1" s="1"/>
  <c r="T72" i="1" s="1"/>
  <c r="U72" i="1" s="1"/>
  <c r="S71" i="1"/>
  <c r="J71" i="1"/>
  <c r="F71" i="1"/>
  <c r="G71" i="1" s="1"/>
  <c r="H71" i="1" s="1"/>
  <c r="K71" i="1" s="1"/>
  <c r="T71" i="1" s="1"/>
  <c r="U71" i="1" s="1"/>
  <c r="S70" i="1"/>
  <c r="J70" i="1"/>
  <c r="F70" i="1"/>
  <c r="G70" i="1" s="1"/>
  <c r="H70" i="1" s="1"/>
  <c r="K70" i="1" s="1"/>
  <c r="T70" i="1" s="1"/>
  <c r="U70" i="1" s="1"/>
  <c r="S69" i="1"/>
  <c r="J69" i="1"/>
  <c r="F69" i="1"/>
  <c r="G69" i="1" s="1"/>
  <c r="H69" i="1" s="1"/>
  <c r="K69" i="1" s="1"/>
  <c r="T69" i="1" s="1"/>
  <c r="U69" i="1" s="1"/>
  <c r="S68" i="1"/>
  <c r="J68" i="1"/>
  <c r="F68" i="1"/>
  <c r="G68" i="1" s="1"/>
  <c r="H68" i="1" s="1"/>
  <c r="K68" i="1" s="1"/>
  <c r="T68" i="1" s="1"/>
  <c r="U68" i="1" s="1"/>
  <c r="S67" i="1"/>
  <c r="J67" i="1"/>
  <c r="F67" i="1"/>
  <c r="G67" i="1" s="1"/>
  <c r="H67" i="1" s="1"/>
  <c r="K67" i="1" s="1"/>
  <c r="T67" i="1" s="1"/>
  <c r="U67" i="1" s="1"/>
  <c r="S66" i="1"/>
  <c r="J66" i="1"/>
  <c r="F66" i="1"/>
  <c r="G66" i="1" s="1"/>
  <c r="H66" i="1" s="1"/>
  <c r="K66" i="1" s="1"/>
  <c r="T66" i="1" s="1"/>
  <c r="U66" i="1" s="1"/>
  <c r="S65" i="1"/>
  <c r="J65" i="1"/>
  <c r="F65" i="1"/>
  <c r="G65" i="1" s="1"/>
  <c r="H65" i="1" s="1"/>
  <c r="K65" i="1" s="1"/>
  <c r="T65" i="1" s="1"/>
  <c r="U65" i="1" s="1"/>
  <c r="S64" i="1"/>
  <c r="J64" i="1"/>
  <c r="F64" i="1"/>
  <c r="G64" i="1" s="1"/>
  <c r="H64" i="1" s="1"/>
  <c r="K64" i="1" s="1"/>
  <c r="T64" i="1" s="1"/>
  <c r="U64" i="1" s="1"/>
  <c r="S63" i="1"/>
  <c r="J63" i="1"/>
  <c r="F63" i="1"/>
  <c r="G63" i="1" s="1"/>
  <c r="H63" i="1" s="1"/>
  <c r="K63" i="1" s="1"/>
  <c r="T63" i="1" s="1"/>
  <c r="U63" i="1" s="1"/>
  <c r="S62" i="1"/>
  <c r="J62" i="1"/>
  <c r="F62" i="1"/>
  <c r="G62" i="1" s="1"/>
  <c r="H62" i="1" s="1"/>
  <c r="K62" i="1" s="1"/>
  <c r="T62" i="1" s="1"/>
  <c r="U62" i="1" s="1"/>
  <c r="S61" i="1"/>
  <c r="J61" i="1"/>
  <c r="H61" i="1"/>
  <c r="K61" i="1" s="1"/>
  <c r="T61" i="1" s="1"/>
  <c r="U61" i="1" s="1"/>
  <c r="G61" i="1"/>
  <c r="S60" i="1"/>
  <c r="J60" i="1"/>
  <c r="G60" i="1"/>
  <c r="H60" i="1" s="1"/>
  <c r="K60" i="1" s="1"/>
  <c r="F60" i="1"/>
  <c r="S59" i="1"/>
  <c r="J59" i="1"/>
  <c r="G59" i="1"/>
  <c r="H59" i="1" s="1"/>
  <c r="K59" i="1" s="1"/>
  <c r="F59" i="1"/>
  <c r="S58" i="1"/>
  <c r="J58" i="1"/>
  <c r="G58" i="1"/>
  <c r="H58" i="1" s="1"/>
  <c r="K58" i="1" s="1"/>
  <c r="F58" i="1"/>
  <c r="S57" i="1"/>
  <c r="J57" i="1"/>
  <c r="G57" i="1"/>
  <c r="H57" i="1" s="1"/>
  <c r="K57" i="1" s="1"/>
  <c r="F57" i="1"/>
  <c r="S56" i="1"/>
  <c r="T56" i="1" s="1"/>
  <c r="U56" i="1" s="1"/>
  <c r="J56" i="1"/>
  <c r="F56" i="1"/>
  <c r="G56" i="1" s="1"/>
  <c r="H56" i="1" s="1"/>
  <c r="S55" i="1"/>
  <c r="T55" i="1" s="1"/>
  <c r="U55" i="1" s="1"/>
  <c r="J55" i="1"/>
  <c r="F55" i="1"/>
  <c r="G55" i="1" s="1"/>
  <c r="H55" i="1" s="1"/>
  <c r="S54" i="1"/>
  <c r="T54" i="1" s="1"/>
  <c r="U54" i="1" s="1"/>
  <c r="J54" i="1"/>
  <c r="F54" i="1"/>
  <c r="G54" i="1" s="1"/>
  <c r="H54" i="1" s="1"/>
  <c r="T53" i="1"/>
  <c r="U53" i="1" s="1"/>
  <c r="S53" i="1"/>
  <c r="J53" i="1"/>
  <c r="G53" i="1"/>
  <c r="H53" i="1" s="1"/>
  <c r="F53" i="1"/>
  <c r="S52" i="1"/>
  <c r="T52" i="1" s="1"/>
  <c r="U52" i="1" s="1"/>
  <c r="J52" i="1"/>
  <c r="G52" i="1"/>
  <c r="H52" i="1" s="1"/>
  <c r="K52" i="1" s="1"/>
  <c r="F52" i="1"/>
  <c r="S51" i="1"/>
  <c r="T51" i="1" s="1"/>
  <c r="U51" i="1" s="1"/>
  <c r="J51" i="1"/>
  <c r="G51" i="1"/>
  <c r="H51" i="1" s="1"/>
  <c r="K51" i="1" s="1"/>
  <c r="F51" i="1"/>
  <c r="S50" i="1"/>
  <c r="T50" i="1" s="1"/>
  <c r="U50" i="1" s="1"/>
  <c r="J50" i="1"/>
  <c r="G50" i="1"/>
  <c r="H50" i="1" s="1"/>
  <c r="K50" i="1" s="1"/>
  <c r="F50" i="1"/>
  <c r="S49" i="1"/>
  <c r="T49" i="1" s="1"/>
  <c r="U49" i="1" s="1"/>
  <c r="J49" i="1"/>
  <c r="G49" i="1"/>
  <c r="H49" i="1" s="1"/>
  <c r="K49" i="1" s="1"/>
  <c r="F49" i="1"/>
  <c r="S48" i="1"/>
  <c r="T48" i="1" s="1"/>
  <c r="U48" i="1" s="1"/>
  <c r="J48" i="1"/>
  <c r="G48" i="1"/>
  <c r="H48" i="1" s="1"/>
  <c r="K48" i="1" s="1"/>
  <c r="F48" i="1"/>
  <c r="S47" i="1"/>
  <c r="J47" i="1"/>
  <c r="G47" i="1"/>
  <c r="H47" i="1" s="1"/>
  <c r="K47" i="1" s="1"/>
  <c r="T47" i="1" s="1"/>
  <c r="U47" i="1" s="1"/>
  <c r="F47" i="1"/>
  <c r="S46" i="1"/>
  <c r="J46" i="1"/>
  <c r="G46" i="1"/>
  <c r="H46" i="1" s="1"/>
  <c r="K46" i="1" s="1"/>
  <c r="T46" i="1" s="1"/>
  <c r="U46" i="1" s="1"/>
  <c r="F46" i="1"/>
  <c r="S45" i="1"/>
  <c r="J45" i="1"/>
  <c r="G45" i="1"/>
  <c r="H45" i="1" s="1"/>
  <c r="K45" i="1" s="1"/>
  <c r="T45" i="1" s="1"/>
  <c r="U45" i="1" s="1"/>
  <c r="S44" i="1"/>
  <c r="J44" i="1"/>
  <c r="G44" i="1"/>
  <c r="H44" i="1" s="1"/>
  <c r="K44" i="1" s="1"/>
  <c r="F44" i="1"/>
  <c r="S43" i="1"/>
  <c r="J43" i="1"/>
  <c r="F43" i="1"/>
  <c r="G43" i="1" s="1"/>
  <c r="H43" i="1" s="1"/>
  <c r="K43" i="1" s="1"/>
  <c r="S42" i="1"/>
  <c r="K42" i="1"/>
  <c r="J42" i="1"/>
  <c r="G42" i="1"/>
  <c r="H42" i="1" s="1"/>
  <c r="F42" i="1"/>
  <c r="S41" i="1"/>
  <c r="J41" i="1"/>
  <c r="F41" i="1"/>
  <c r="G41" i="1" s="1"/>
  <c r="H41" i="1" s="1"/>
  <c r="K41" i="1" s="1"/>
  <c r="S40" i="1"/>
  <c r="J40" i="1"/>
  <c r="G40" i="1"/>
  <c r="H40" i="1" s="1"/>
  <c r="K40" i="1" s="1"/>
  <c r="F40" i="1"/>
  <c r="S39" i="1"/>
  <c r="J39" i="1"/>
  <c r="F39" i="1"/>
  <c r="G39" i="1" s="1"/>
  <c r="H39" i="1" s="1"/>
  <c r="K39" i="1" s="1"/>
  <c r="S38" i="1"/>
  <c r="J38" i="1"/>
  <c r="F38" i="1"/>
  <c r="G38" i="1" s="1"/>
  <c r="H38" i="1" s="1"/>
  <c r="K38" i="1" s="1"/>
  <c r="S37" i="1"/>
  <c r="J37" i="1"/>
  <c r="G37" i="1"/>
  <c r="H37" i="1" s="1"/>
  <c r="K37" i="1" s="1"/>
  <c r="F37" i="1"/>
  <c r="S36" i="1"/>
  <c r="J36" i="1"/>
  <c r="F36" i="1"/>
  <c r="G36" i="1" s="1"/>
  <c r="H36" i="1" s="1"/>
  <c r="K36" i="1" s="1"/>
  <c r="T36" i="1" s="1"/>
  <c r="U36" i="1" s="1"/>
  <c r="S35" i="1"/>
  <c r="J35" i="1"/>
  <c r="G35" i="1"/>
  <c r="H35" i="1" s="1"/>
  <c r="K35" i="1" s="1"/>
  <c r="F35" i="1"/>
  <c r="S34" i="1"/>
  <c r="J34" i="1"/>
  <c r="F34" i="1"/>
  <c r="G34" i="1" s="1"/>
  <c r="H34" i="1" s="1"/>
  <c r="K34" i="1" s="1"/>
  <c r="T34" i="1" s="1"/>
  <c r="U34" i="1" s="1"/>
  <c r="S33" i="1"/>
  <c r="J33" i="1"/>
  <c r="F33" i="1"/>
  <c r="G33" i="1" s="1"/>
  <c r="H33" i="1" s="1"/>
  <c r="K33" i="1" s="1"/>
  <c r="T33" i="1" s="1"/>
  <c r="U33" i="1" s="1"/>
  <c r="S32" i="1"/>
  <c r="K32" i="1"/>
  <c r="T32" i="1" s="1"/>
  <c r="U32" i="1" s="1"/>
  <c r="J32" i="1"/>
  <c r="H32" i="1"/>
  <c r="G32" i="1"/>
  <c r="S31" i="1"/>
  <c r="T31" i="1" s="1"/>
  <c r="U31" i="1" s="1"/>
  <c r="J31" i="1"/>
  <c r="G31" i="1"/>
  <c r="H31" i="1" s="1"/>
  <c r="K31" i="1" s="1"/>
  <c r="S30" i="1"/>
  <c r="J30" i="1"/>
  <c r="F30" i="1"/>
  <c r="G30" i="1" s="1"/>
  <c r="H30" i="1" s="1"/>
  <c r="K30" i="1" s="1"/>
  <c r="T30" i="1" s="1"/>
  <c r="U30" i="1" s="1"/>
  <c r="S29" i="1"/>
  <c r="J29" i="1"/>
  <c r="F29" i="1"/>
  <c r="G29" i="1" s="1"/>
  <c r="H29" i="1" s="1"/>
  <c r="K29" i="1" s="1"/>
  <c r="T29" i="1" s="1"/>
  <c r="U29" i="1" s="1"/>
  <c r="S28" i="1"/>
  <c r="J28" i="1"/>
  <c r="H28" i="1"/>
  <c r="K28" i="1" s="1"/>
  <c r="T28" i="1" s="1"/>
  <c r="U28" i="1" s="1"/>
  <c r="G28" i="1"/>
  <c r="S27" i="1"/>
  <c r="J27" i="1"/>
  <c r="G27" i="1"/>
  <c r="H27" i="1" s="1"/>
  <c r="K27" i="1" s="1"/>
  <c r="S26" i="1"/>
  <c r="J26" i="1"/>
  <c r="F26" i="1"/>
  <c r="G26" i="1" s="1"/>
  <c r="H26" i="1" s="1"/>
  <c r="K26" i="1" s="1"/>
  <c r="T26" i="1" s="1"/>
  <c r="U26" i="1" s="1"/>
  <c r="S25" i="1"/>
  <c r="J25" i="1"/>
  <c r="F25" i="1"/>
  <c r="G25" i="1" s="1"/>
  <c r="H25" i="1" s="1"/>
  <c r="K25" i="1" s="1"/>
  <c r="T25" i="1" s="1"/>
  <c r="U25" i="1" s="1"/>
  <c r="T24" i="1"/>
  <c r="U24" i="1" s="1"/>
  <c r="S24" i="1"/>
  <c r="J24" i="1"/>
  <c r="G24" i="1"/>
  <c r="H24" i="1" s="1"/>
  <c r="F24" i="1"/>
  <c r="S23" i="1"/>
  <c r="T23" i="1" s="1"/>
  <c r="U23" i="1" s="1"/>
  <c r="J23" i="1"/>
  <c r="F23" i="1"/>
  <c r="G23" i="1" s="1"/>
  <c r="H23" i="1" s="1"/>
  <c r="T22" i="1"/>
  <c r="U22" i="1" s="1"/>
  <c r="S22" i="1"/>
  <c r="J22" i="1"/>
  <c r="G22" i="1"/>
  <c r="H22" i="1" s="1"/>
  <c r="F22" i="1"/>
  <c r="S21" i="1"/>
  <c r="T21" i="1" s="1"/>
  <c r="U21" i="1" s="1"/>
  <c r="J21" i="1"/>
  <c r="F21" i="1"/>
  <c r="G21" i="1" s="1"/>
  <c r="H21" i="1" s="1"/>
  <c r="T20" i="1"/>
  <c r="U20" i="1" s="1"/>
  <c r="S20" i="1"/>
  <c r="J20" i="1"/>
  <c r="G20" i="1"/>
  <c r="H20" i="1" s="1"/>
  <c r="F20" i="1"/>
  <c r="S19" i="1"/>
  <c r="T19" i="1" s="1"/>
  <c r="U19" i="1" s="1"/>
  <c r="J19" i="1"/>
  <c r="F19" i="1"/>
  <c r="G19" i="1" s="1"/>
  <c r="H19" i="1" s="1"/>
  <c r="T18" i="1"/>
  <c r="U18" i="1" s="1"/>
  <c r="S18" i="1"/>
  <c r="J18" i="1"/>
  <c r="G18" i="1"/>
  <c r="H18" i="1" s="1"/>
  <c r="F18" i="1"/>
  <c r="S17" i="1"/>
  <c r="T17" i="1" s="1"/>
  <c r="U17" i="1" s="1"/>
  <c r="J17" i="1"/>
  <c r="G17" i="1"/>
  <c r="H17" i="1" s="1"/>
  <c r="K17" i="1" s="1"/>
  <c r="F17" i="1"/>
  <c r="S16" i="1"/>
  <c r="T16" i="1" s="1"/>
  <c r="U16" i="1" s="1"/>
  <c r="J16" i="1"/>
  <c r="G16" i="1"/>
  <c r="H16" i="1" s="1"/>
  <c r="K16" i="1" s="1"/>
  <c r="F16" i="1"/>
  <c r="S15" i="1"/>
  <c r="T15" i="1" s="1"/>
  <c r="U15" i="1" s="1"/>
  <c r="J15" i="1"/>
  <c r="F15" i="1"/>
  <c r="G15" i="1" s="1"/>
  <c r="H15" i="1" s="1"/>
  <c r="S14" i="1"/>
  <c r="J14" i="1"/>
  <c r="F14" i="1"/>
  <c r="G14" i="1" s="1"/>
  <c r="H14" i="1" s="1"/>
  <c r="K14" i="1" s="1"/>
  <c r="T14" i="1" s="1"/>
  <c r="U14" i="1" s="1"/>
  <c r="S13" i="1"/>
  <c r="K13" i="1"/>
  <c r="T13" i="1" s="1"/>
  <c r="U13" i="1" s="1"/>
  <c r="J13" i="1"/>
  <c r="H13" i="1"/>
  <c r="G13" i="1"/>
  <c r="S12" i="1"/>
  <c r="J12" i="1"/>
  <c r="G12" i="1"/>
  <c r="H12" i="1" s="1"/>
  <c r="K12" i="1" s="1"/>
  <c r="F12" i="1"/>
  <c r="S11" i="1"/>
  <c r="J11" i="1"/>
  <c r="G11" i="1"/>
  <c r="H11" i="1" s="1"/>
  <c r="K11" i="1" s="1"/>
  <c r="F11" i="1"/>
  <c r="S10" i="1"/>
  <c r="J10" i="1"/>
  <c r="G10" i="1"/>
  <c r="H10" i="1" s="1"/>
  <c r="K10" i="1" s="1"/>
  <c r="F10" i="1"/>
  <c r="S9" i="1"/>
  <c r="J9" i="1"/>
  <c r="G9" i="1"/>
  <c r="H9" i="1" s="1"/>
  <c r="K9" i="1" s="1"/>
  <c r="S8" i="1"/>
  <c r="J8" i="1"/>
  <c r="F8" i="1"/>
  <c r="G8" i="1" s="1"/>
  <c r="H8" i="1" s="1"/>
  <c r="K8" i="1" s="1"/>
  <c r="T8" i="1" s="1"/>
  <c r="U8" i="1" s="1"/>
  <c r="S7" i="1"/>
  <c r="J7" i="1"/>
  <c r="F7" i="1"/>
  <c r="G7" i="1" s="1"/>
  <c r="H7" i="1" s="1"/>
  <c r="K7" i="1" s="1"/>
  <c r="T7" i="1" s="1"/>
  <c r="U7" i="1" s="1"/>
  <c r="S6" i="1"/>
  <c r="J6" i="1"/>
  <c r="F6" i="1"/>
  <c r="G6" i="1" s="1"/>
  <c r="H6" i="1" s="1"/>
  <c r="K6" i="1" s="1"/>
  <c r="T6" i="1" s="1"/>
  <c r="U6" i="1" s="1"/>
  <c r="S5" i="1"/>
  <c r="J5" i="1"/>
  <c r="F5" i="1"/>
  <c r="G5" i="1" s="1"/>
  <c r="H5" i="1" s="1"/>
  <c r="K5" i="1" s="1"/>
  <c r="T5" i="1" s="1"/>
  <c r="U5" i="1" s="1"/>
  <c r="S4" i="1"/>
  <c r="J4" i="1"/>
  <c r="H4" i="1"/>
  <c r="K4" i="1" s="1"/>
  <c r="T4" i="1" s="1"/>
  <c r="U4" i="1" s="1"/>
  <c r="G4" i="1"/>
  <c r="S3" i="1"/>
  <c r="T3" i="1" s="1"/>
  <c r="U3" i="1" s="1"/>
  <c r="J3" i="1"/>
  <c r="F3" i="1"/>
  <c r="G3" i="1" s="1"/>
  <c r="H3" i="1" s="1"/>
  <c r="S2" i="1"/>
  <c r="J2" i="1"/>
  <c r="G2" i="1"/>
  <c r="H2" i="1" s="1"/>
  <c r="T9" i="1" l="1"/>
  <c r="U9" i="1" s="1"/>
  <c r="T10" i="1"/>
  <c r="U10" i="1" s="1"/>
  <c r="T11" i="1"/>
  <c r="U11" i="1" s="1"/>
  <c r="T12" i="1"/>
  <c r="T37" i="1"/>
  <c r="U37" i="1" s="1"/>
  <c r="T27" i="1"/>
  <c r="U27" i="1" s="1"/>
  <c r="T35" i="1"/>
  <c r="U35" i="1" s="1"/>
  <c r="T39" i="1"/>
  <c r="U39" i="1" s="1"/>
  <c r="T43" i="1"/>
  <c r="U43" i="1" s="1"/>
  <c r="T57" i="1"/>
  <c r="U57" i="1" s="1"/>
  <c r="T58" i="1"/>
  <c r="U58" i="1" s="1"/>
  <c r="T59" i="1"/>
  <c r="U59" i="1" s="1"/>
  <c r="T60" i="1"/>
  <c r="U6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40" i="1"/>
  <c r="U40" i="1" s="1"/>
  <c r="T44" i="1"/>
  <c r="U44" i="1" s="1"/>
  <c r="T41" i="1"/>
  <c r="U41" i="1" s="1"/>
  <c r="T38" i="1"/>
  <c r="U38" i="1" s="1"/>
  <c r="T42" i="1"/>
  <c r="U42" i="1" s="1"/>
  <c r="T74" i="1"/>
  <c r="U74" i="1" s="1"/>
  <c r="T76" i="1"/>
  <c r="U76" i="1" s="1"/>
  <c r="T77" i="1"/>
  <c r="U77" i="1" s="1"/>
  <c r="T103" i="1"/>
  <c r="U103" i="1" s="1"/>
  <c r="T104" i="1"/>
  <c r="U104" i="1" s="1"/>
  <c r="T105" i="1"/>
  <c r="U105" i="1" s="1"/>
</calcChain>
</file>

<file path=xl/sharedStrings.xml><?xml version="1.0" encoding="utf-8"?>
<sst xmlns="http://schemas.openxmlformats.org/spreadsheetml/2006/main" count="329" uniqueCount="145">
  <si>
    <t>№ п/п</t>
  </si>
  <si>
    <t>Год постройки</t>
  </si>
  <si>
    <t>№ газопровода</t>
  </si>
  <si>
    <t>Дата</t>
  </si>
  <si>
    <t>Диаметр, мм</t>
  </si>
  <si>
    <t>Диаметр с учетом толщины изоляции</t>
  </si>
  <si>
    <t>Длина окружности, мм</t>
  </si>
  <si>
    <t>Длина окружности, м</t>
  </si>
  <si>
    <t>Переходное сопротивление, кОм</t>
  </si>
  <si>
    <t>Переходное сопротивление, Ом</t>
  </si>
  <si>
    <t>Переходное сопротивление, Ом*м2</t>
  </si>
  <si>
    <t>Твердость, HB</t>
  </si>
  <si>
    <t>Глубина залегания, м</t>
  </si>
  <si>
    <t>Грунт</t>
  </si>
  <si>
    <t>Толщина изоляции</t>
  </si>
  <si>
    <t>Посторонние источники тока (трамвайные пути и т.п.)</t>
  </si>
  <si>
    <t>СКЗ</t>
  </si>
  <si>
    <t>Адрес 7-ег</t>
  </si>
  <si>
    <t>Факт срок службы</t>
  </si>
  <si>
    <t>К-т старения, год-1</t>
  </si>
  <si>
    <t>Ост срок службы изоляции</t>
  </si>
  <si>
    <t>1-53/2</t>
  </si>
  <si>
    <t>Суглинок</t>
  </si>
  <si>
    <t>Минск, улица Ротмистрова 4</t>
  </si>
  <si>
    <t>4-44/14</t>
  </si>
  <si>
    <t>Минск, улица Асаналиева 32</t>
  </si>
  <si>
    <t>3-43/3</t>
  </si>
  <si>
    <t>Супесь</t>
  </si>
  <si>
    <t>г. Минск ул. Харьковская подход к котельной</t>
  </si>
  <si>
    <t>4-44/16</t>
  </si>
  <si>
    <t>1-61/4</t>
  </si>
  <si>
    <t>нет</t>
  </si>
  <si>
    <t>Минск, Долгобродская улица 30/2</t>
  </si>
  <si>
    <t>4-111/6</t>
  </si>
  <si>
    <t>Песок</t>
  </si>
  <si>
    <t>Минск, ул. Куйбышева</t>
  </si>
  <si>
    <t>Минск, Киселёва улица 25</t>
  </si>
  <si>
    <t>2-.10/1</t>
  </si>
  <si>
    <t>Минск, Калиновского от Логойского тракта</t>
  </si>
  <si>
    <t>4-32а/12</t>
  </si>
  <si>
    <t>Минск, Лошицкий проезд 28</t>
  </si>
  <si>
    <t>3-33/2</t>
  </si>
  <si>
    <t>Минск, 1-я Радиаторная улица 88</t>
  </si>
  <si>
    <t>Минск, 1-я Радиаторная улица 78</t>
  </si>
  <si>
    <t>Минск, улица Жудро 71</t>
  </si>
  <si>
    <t>Минск, улица Ольшевского,75</t>
  </si>
  <si>
    <t>3-43/4</t>
  </si>
  <si>
    <t>Минск, Харьковская улица 80 к3</t>
  </si>
  <si>
    <t>3-122/2а</t>
  </si>
  <si>
    <t>Минск, улица Одинцова 61</t>
  </si>
  <si>
    <t>Минск, улица Якубовского 78</t>
  </si>
  <si>
    <t>5/42-10</t>
  </si>
  <si>
    <t>3-49/3</t>
  </si>
  <si>
    <t>аг. Петришки, 24-ти квартирный ж.д.</t>
  </si>
  <si>
    <t>2-.7/8</t>
  </si>
  <si>
    <t xml:space="preserve">
г. Минск, ул. Кедышко, подход к ГРП-140 (см. док. н.д. 2-21/2)</t>
  </si>
  <si>
    <t>3-21/2</t>
  </si>
  <si>
    <t>Минск, улица Одоевского 18 к1</t>
  </si>
  <si>
    <t>2-28/2</t>
  </si>
  <si>
    <t>г. Минск ул. Бумажкова,Столетова</t>
  </si>
  <si>
    <t>1-64/1</t>
  </si>
  <si>
    <t>Минск,ул. Стахановская</t>
  </si>
  <si>
    <t>супесь</t>
  </si>
  <si>
    <t>Минск, Стахановская улица 17</t>
  </si>
  <si>
    <t>Минск,Стахановская</t>
  </si>
  <si>
    <t>1-52/3</t>
  </si>
  <si>
    <t>Минск, Народная улица 28</t>
  </si>
  <si>
    <t>1-52/2</t>
  </si>
  <si>
    <t>Минск, Партизанский проспект 69А</t>
  </si>
  <si>
    <t>1-33/14</t>
  </si>
  <si>
    <t>Минск, Байкальская улица 54</t>
  </si>
  <si>
    <t>2-38/2</t>
  </si>
  <si>
    <t>Минск, улица Мирошниченко 49</t>
  </si>
  <si>
    <t>1-55(1)/2</t>
  </si>
  <si>
    <t>Минск переулок Щербакова,6</t>
  </si>
  <si>
    <t>5-35/11</t>
  </si>
  <si>
    <t xml:space="preserve">
г. Минск ул. Лынькова 7, 9</t>
  </si>
  <si>
    <r>
      <rPr>
        <sz val="11"/>
        <color rgb="FF666666"/>
        <rFont val="Tahoma"/>
        <charset val="204"/>
      </rPr>
      <t xml:space="preserve">
</t>
    </r>
    <r>
      <rPr>
        <sz val="11"/>
        <rFont val="Times New Roman"/>
        <charset val="204"/>
      </rPr>
      <t>г. Минск ул. Лынькова 7, 9</t>
    </r>
  </si>
  <si>
    <t>3-17/3</t>
  </si>
  <si>
    <t>Минск, улица Волоха 3 к1</t>
  </si>
  <si>
    <t>3-17/4</t>
  </si>
  <si>
    <t>Минск, улица Волоха 1</t>
  </si>
  <si>
    <t>1-52/19</t>
  </si>
  <si>
    <t>Минск, Партизанский проспект 75</t>
  </si>
  <si>
    <t>2-38/3</t>
  </si>
  <si>
    <t>Минск, улица Мирошниченко 9</t>
  </si>
  <si>
    <t>4-56/4</t>
  </si>
  <si>
    <t>Минск, улица Нахимова 25</t>
  </si>
  <si>
    <t>3-29/2</t>
  </si>
  <si>
    <t>Минск, улица Матусевича 3</t>
  </si>
  <si>
    <t>2-100/2</t>
  </si>
  <si>
    <t>Минск, Уручская улица 21</t>
  </si>
  <si>
    <t>Минск, Уручская улица 21а</t>
  </si>
  <si>
    <t>2-100/11</t>
  </si>
  <si>
    <t>Минск, Уручская улица 1</t>
  </si>
  <si>
    <t>2-100/6</t>
  </si>
  <si>
    <t>Минск, Уручская улица 3</t>
  </si>
  <si>
    <t>1-70/3</t>
  </si>
  <si>
    <t>г. Минск Партизанский пр-т от ул. Жилуновича до ул.Буденного</t>
  </si>
  <si>
    <t>4-29/10</t>
  </si>
  <si>
    <t>Минск, Первомайская улица 26 к3</t>
  </si>
  <si>
    <t>4-201/19</t>
  </si>
  <si>
    <t>Минск, Брестская улица 80</t>
  </si>
  <si>
    <t>Минск, улица Нахимова 17</t>
  </si>
  <si>
    <t>1-41/2</t>
  </si>
  <si>
    <t>4-171/2</t>
  </si>
  <si>
    <t>Минск улица Свердлова,13А</t>
  </si>
  <si>
    <t>1-57/5</t>
  </si>
  <si>
    <t>Минск, улица Жилуновича 45</t>
  </si>
  <si>
    <t>4-14а/3</t>
  </si>
  <si>
    <t>Глина</t>
  </si>
  <si>
    <t>Прилуки, Мира улица 15</t>
  </si>
  <si>
    <t>4-131/14</t>
  </si>
  <si>
    <t>Минск, 1-й Заречный переулок 22</t>
  </si>
  <si>
    <t>1-67/1</t>
  </si>
  <si>
    <t>Минск, улица Олега Кошевого 9А</t>
  </si>
  <si>
    <t>4-8./4</t>
  </si>
  <si>
    <t>Сеница, Садовая улица 8</t>
  </si>
  <si>
    <t>1-84/1</t>
  </si>
  <si>
    <t>Минск, Байкальская улица 58 к1</t>
  </si>
  <si>
    <t>Минск, Ангарская улица 20 к3</t>
  </si>
  <si>
    <t>5-78/2</t>
  </si>
  <si>
    <t>Ждановичи, улица Парковая 1</t>
  </si>
  <si>
    <t>1-47/8</t>
  </si>
  <si>
    <t>д. Большое Стиклево пер. 1-й, 2-й, ул. Б.Стиклево</t>
  </si>
  <si>
    <t>3-86/3</t>
  </si>
  <si>
    <t>Малиновка, 10</t>
  </si>
  <si>
    <t>1-45/13</t>
  </si>
  <si>
    <t>Минск, Алтайская улица 64 к3</t>
  </si>
  <si>
    <t>Минск, Алтайская улица 78 к3</t>
  </si>
  <si>
    <t>Минск, Алтайская улица 64 к1</t>
  </si>
  <si>
    <t>1-52/5</t>
  </si>
  <si>
    <t>Минск, Партизанский проспект 71А</t>
  </si>
  <si>
    <t>4-50/1</t>
  </si>
  <si>
    <t xml:space="preserve">
Воинская часть д.Урожайная д.7</t>
  </si>
  <si>
    <t>1-52/1</t>
  </si>
  <si>
    <t>Минск, Партизанский проспект 40</t>
  </si>
  <si>
    <t>2-66/7</t>
  </si>
  <si>
    <t>Минск, Белинского улица 55</t>
  </si>
  <si>
    <t>5-35/5</t>
  </si>
  <si>
    <t>г. Минск ул. Ольшевского д.28, 30, 32</t>
  </si>
  <si>
    <t>4-14а/9</t>
  </si>
  <si>
    <t>Прилуки, Мира улица 1</t>
  </si>
  <si>
    <t>1-52/6</t>
  </si>
  <si>
    <t>г. Минск ул. Народная 18,30,34 п.161(1)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</si>
</sst>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dd\.mmm"/>
    <numFmt numFmtId="170" formatCode="dd\.mm\.yyyy"/>
  </numFmts>
  <fonts count="5" x14ac:knownFonts="1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name val="Times New Roman"/>
      <charset val="204"/>
    </font>
    <font>
      <b/>
      <sz val="11"/>
      <color theme="1"/>
      <name val="Calibri"/>
      <charset val="204"/>
      <scheme val="minor"/>
    </font>
    <font>
      <sz val="11"/>
      <color rgb="FF666666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0" fontId="1" fillId="0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70" fontId="1" fillId="0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70" fontId="1" fillId="0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0" fontId="2" fillId="0" borderId="6" xfId="0" applyNumberFormat="1" applyFont="1" applyFill="1" applyBorder="1" applyAlignment="1">
      <alignment horizontal="center" vertical="center" wrapText="1"/>
    </xf>
    <xf numFmtId="169" fontId="1" fillId="0" borderId="6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0" borderId="9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0" borderId="10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70" fontId="1" fillId="0" borderId="14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" fontId="1" fillId="2" borderId="14" xfId="0" applyNumberFormat="1" applyFont="1" applyFill="1" applyBorder="1" applyAlignment="1">
      <alignment horizontal="center" vertical="center" wrapText="1"/>
    </xf>
    <xf numFmtId="1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G1" workbookViewId="0">
      <pane ySplit="1" topLeftCell="A2" activePane="bottomLeft" state="frozen"/>
      <selection pane="bottomLeft" activeCell="T2" sqref="T2"/>
    </sheetView>
  </sheetViews>
  <sheetFormatPr defaultColWidth="9.140625" defaultRowHeight="15" x14ac:dyDescent="0.25"/>
  <cols>
    <col min="1" max="1" width="9.140625" style="1"/>
    <col min="2" max="2" width="11.5703125" style="1" customWidth="1"/>
    <col min="3" max="4" width="12.85546875" style="1" customWidth="1"/>
    <col min="5" max="5" width="10.28515625" style="2" customWidth="1"/>
    <col min="6" max="6" width="13" style="1" customWidth="1"/>
    <col min="7" max="8" width="13.42578125" style="1" customWidth="1"/>
    <col min="9" max="9" width="16.7109375" style="1" customWidth="1"/>
    <col min="10" max="10" width="17" style="1" customWidth="1"/>
    <col min="11" max="11" width="16.5703125" style="2" customWidth="1"/>
    <col min="12" max="12" width="16.5703125" style="1" customWidth="1"/>
    <col min="13" max="13" width="18.5703125" style="2" customWidth="1"/>
    <col min="14" max="14" width="19" style="2" customWidth="1"/>
    <col min="15" max="15" width="17.85546875" style="2" customWidth="1"/>
    <col min="16" max="16" width="19" style="1" customWidth="1"/>
    <col min="17" max="17" width="13.5703125" style="1" customWidth="1"/>
    <col min="18" max="18" width="22" style="1" customWidth="1"/>
    <col min="19" max="19" width="19.28515625" style="2" customWidth="1"/>
    <col min="20" max="20" width="15.5703125" style="3" customWidth="1"/>
    <col min="21" max="21" width="17.140625" style="4" customWidth="1"/>
    <col min="22" max="16384" width="9.140625" style="1"/>
  </cols>
  <sheetData>
    <row r="1" spans="1:21" ht="6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32" t="s">
        <v>16</v>
      </c>
      <c r="R1" s="33" t="s">
        <v>17</v>
      </c>
      <c r="S1" s="34" t="s">
        <v>18</v>
      </c>
      <c r="T1" s="4" t="s">
        <v>19</v>
      </c>
      <c r="U1" s="4" t="s">
        <v>20</v>
      </c>
    </row>
    <row r="2" spans="1:21" ht="30" x14ac:dyDescent="0.25">
      <c r="A2" s="8">
        <v>1</v>
      </c>
      <c r="B2" s="9">
        <v>1965</v>
      </c>
      <c r="C2" s="9" t="s">
        <v>21</v>
      </c>
      <c r="D2" s="10">
        <v>44641</v>
      </c>
      <c r="E2" s="11">
        <v>108</v>
      </c>
      <c r="F2" s="9">
        <v>126</v>
      </c>
      <c r="G2" s="9">
        <f t="shared" ref="G2:G65" si="0">F2*3.1415</f>
        <v>395.82900000000001</v>
      </c>
      <c r="H2" s="9">
        <f t="shared" ref="H2:H65" si="1">G2/1000</f>
        <v>0.39582899999999999</v>
      </c>
      <c r="I2" s="9">
        <v>9</v>
      </c>
      <c r="J2" s="9">
        <f t="shared" ref="J2:J65" si="2">I2*1000</f>
        <v>9000</v>
      </c>
      <c r="K2" s="21">
        <v>1376</v>
      </c>
      <c r="L2" s="22">
        <v>158</v>
      </c>
      <c r="M2" s="53">
        <v>1</v>
      </c>
      <c r="N2" s="23" t="s">
        <v>22</v>
      </c>
      <c r="O2" s="50"/>
      <c r="P2" s="24"/>
      <c r="Q2" s="35"/>
      <c r="R2" s="36" t="s">
        <v>23</v>
      </c>
      <c r="S2" s="37">
        <f>2022-B2</f>
        <v>57</v>
      </c>
      <c r="T2" s="38">
        <f>(1/S2)*LN(K2/400)</f>
        <v>2.1674938094479068E-2</v>
      </c>
      <c r="U2" s="39">
        <f>1/T2*LN((5*10^4)/K2)</f>
        <v>165.76020887608186</v>
      </c>
    </row>
    <row r="3" spans="1:21" ht="30" x14ac:dyDescent="0.25">
      <c r="A3" s="12">
        <v>2</v>
      </c>
      <c r="B3" s="13">
        <v>1983</v>
      </c>
      <c r="C3" s="13" t="s">
        <v>24</v>
      </c>
      <c r="D3" s="14">
        <v>44643</v>
      </c>
      <c r="E3" s="15">
        <v>57</v>
      </c>
      <c r="F3" s="13">
        <f>E3+18</f>
        <v>75</v>
      </c>
      <c r="G3" s="13">
        <f t="shared" si="0"/>
        <v>235.61250000000001</v>
      </c>
      <c r="H3" s="13">
        <f t="shared" si="1"/>
        <v>0.2356125</v>
      </c>
      <c r="I3" s="13">
        <v>14</v>
      </c>
      <c r="J3" s="13">
        <f t="shared" si="2"/>
        <v>14000</v>
      </c>
      <c r="K3" s="25">
        <v>1327</v>
      </c>
      <c r="L3" s="26">
        <v>145</v>
      </c>
      <c r="M3" s="54">
        <v>0.7</v>
      </c>
      <c r="N3" s="27" t="s">
        <v>22</v>
      </c>
      <c r="O3" s="51">
        <v>7.8</v>
      </c>
      <c r="P3" s="28"/>
      <c r="Q3" s="40"/>
      <c r="R3" s="36" t="s">
        <v>25</v>
      </c>
      <c r="S3" s="37">
        <f t="shared" ref="S3:S66" si="3">2022-B3</f>
        <v>39</v>
      </c>
      <c r="T3" s="38">
        <f t="shared" ref="T3:T66" si="4">1/S3*LN(K3/400)</f>
        <v>3.0749012492928857E-2</v>
      </c>
      <c r="U3" s="39">
        <f>1/T3*LN((5*10^4)/K3)</f>
        <v>118.02337557710629</v>
      </c>
    </row>
    <row r="4" spans="1:21" ht="45" x14ac:dyDescent="0.25">
      <c r="A4" s="12">
        <v>3</v>
      </c>
      <c r="B4" s="13">
        <v>1963</v>
      </c>
      <c r="C4" s="13" t="s">
        <v>26</v>
      </c>
      <c r="D4" s="14">
        <v>44644</v>
      </c>
      <c r="E4" s="15">
        <v>426</v>
      </c>
      <c r="F4" s="13">
        <v>446</v>
      </c>
      <c r="G4" s="13">
        <f t="shared" si="0"/>
        <v>1401.1090000000002</v>
      </c>
      <c r="H4" s="13">
        <f t="shared" si="1"/>
        <v>1.4011090000000002</v>
      </c>
      <c r="I4" s="13">
        <v>7</v>
      </c>
      <c r="J4" s="13">
        <f t="shared" si="2"/>
        <v>7000</v>
      </c>
      <c r="K4" s="25">
        <f t="shared" ref="K4:K14" si="5">0.4*H4*J4</f>
        <v>3923.1052000000004</v>
      </c>
      <c r="L4" s="26">
        <v>150</v>
      </c>
      <c r="M4" s="54">
        <v>1.5</v>
      </c>
      <c r="N4" s="27" t="s">
        <v>27</v>
      </c>
      <c r="O4" s="51"/>
      <c r="P4" s="28"/>
      <c r="Q4" s="40"/>
      <c r="R4" s="36" t="s">
        <v>28</v>
      </c>
      <c r="S4" s="37">
        <f t="shared" si="3"/>
        <v>59</v>
      </c>
      <c r="T4" s="38">
        <f>1/S4*LN(K4/400)</f>
        <v>3.8697868050069577E-2</v>
      </c>
      <c r="U4" s="39">
        <f t="shared" ref="U4:U66" si="6">1/T4*LN(5*10^4/K4)</f>
        <v>65.769502316126164</v>
      </c>
    </row>
    <row r="5" spans="1:21" x14ac:dyDescent="0.25">
      <c r="A5" s="12">
        <v>4</v>
      </c>
      <c r="B5" s="13">
        <v>1983</v>
      </c>
      <c r="C5" s="13" t="s">
        <v>29</v>
      </c>
      <c r="D5" s="14">
        <v>44643</v>
      </c>
      <c r="E5" s="15">
        <v>57</v>
      </c>
      <c r="F5" s="13">
        <f>E5+18</f>
        <v>75</v>
      </c>
      <c r="G5" s="13">
        <f t="shared" si="0"/>
        <v>235.61250000000001</v>
      </c>
      <c r="H5" s="13">
        <f t="shared" si="1"/>
        <v>0.2356125</v>
      </c>
      <c r="I5" s="13">
        <v>14</v>
      </c>
      <c r="J5" s="13">
        <f t="shared" si="2"/>
        <v>14000</v>
      </c>
      <c r="K5" s="25">
        <f t="shared" si="5"/>
        <v>1319.43</v>
      </c>
      <c r="L5" s="26">
        <v>161</v>
      </c>
      <c r="M5" s="54">
        <v>0.7</v>
      </c>
      <c r="N5" s="27" t="s">
        <v>22</v>
      </c>
      <c r="O5" s="51">
        <v>7.5</v>
      </c>
      <c r="P5" s="28"/>
      <c r="Q5" s="40"/>
      <c r="R5" s="36" t="s">
        <v>29</v>
      </c>
      <c r="S5" s="37">
        <f t="shared" si="3"/>
        <v>39</v>
      </c>
      <c r="T5" s="38">
        <f t="shared" si="4"/>
        <v>3.0602321975135811E-2</v>
      </c>
      <c r="U5" s="39">
        <f t="shared" si="6"/>
        <v>118.77605834045126</v>
      </c>
    </row>
    <row r="6" spans="1:21" ht="30" x14ac:dyDescent="0.25">
      <c r="A6" s="12">
        <v>5</v>
      </c>
      <c r="B6" s="13">
        <v>1962</v>
      </c>
      <c r="C6" s="13" t="s">
        <v>30</v>
      </c>
      <c r="D6" s="14">
        <v>44642</v>
      </c>
      <c r="E6" s="15">
        <v>89</v>
      </c>
      <c r="F6" s="13">
        <f>89+7.8+7.8</f>
        <v>104.6</v>
      </c>
      <c r="G6" s="13">
        <f t="shared" si="0"/>
        <v>328.60090000000002</v>
      </c>
      <c r="H6" s="13">
        <f t="shared" si="1"/>
        <v>0.32860090000000003</v>
      </c>
      <c r="I6" s="13">
        <v>5</v>
      </c>
      <c r="J6" s="13">
        <f t="shared" si="2"/>
        <v>5000</v>
      </c>
      <c r="K6" s="25">
        <f t="shared" si="5"/>
        <v>657.20180000000005</v>
      </c>
      <c r="L6" s="26">
        <v>161</v>
      </c>
      <c r="M6" s="54">
        <v>1.1000000000000001</v>
      </c>
      <c r="N6" s="27" t="s">
        <v>27</v>
      </c>
      <c r="O6" s="51">
        <v>7</v>
      </c>
      <c r="P6" s="28" t="s">
        <v>31</v>
      </c>
      <c r="Q6" s="40"/>
      <c r="R6" s="36" t="s">
        <v>32</v>
      </c>
      <c r="S6" s="37">
        <f t="shared" si="3"/>
        <v>60</v>
      </c>
      <c r="T6" s="38">
        <f t="shared" si="4"/>
        <v>8.275442965727511E-3</v>
      </c>
      <c r="U6" s="39">
        <f t="shared" si="6"/>
        <v>523.45079016296904</v>
      </c>
    </row>
    <row r="7" spans="1:21" x14ac:dyDescent="0.25">
      <c r="A7" s="12">
        <v>6</v>
      </c>
      <c r="B7" s="13">
        <v>1963</v>
      </c>
      <c r="C7" s="14" t="s">
        <v>33</v>
      </c>
      <c r="D7" s="14">
        <v>44638</v>
      </c>
      <c r="E7" s="15">
        <v>57</v>
      </c>
      <c r="F7" s="13">
        <f>57+6.1+6.1</f>
        <v>69.2</v>
      </c>
      <c r="G7" s="13">
        <f t="shared" si="0"/>
        <v>217.39180000000002</v>
      </c>
      <c r="H7" s="13">
        <f t="shared" si="1"/>
        <v>0.21739180000000002</v>
      </c>
      <c r="I7" s="13">
        <v>9</v>
      </c>
      <c r="J7" s="13">
        <f t="shared" si="2"/>
        <v>9000</v>
      </c>
      <c r="K7" s="25">
        <f t="shared" si="5"/>
        <v>782.61048000000017</v>
      </c>
      <c r="L7" s="26">
        <v>139</v>
      </c>
      <c r="M7" s="54">
        <v>1.1000000000000001</v>
      </c>
      <c r="N7" s="27" t="s">
        <v>34</v>
      </c>
      <c r="O7" s="51">
        <v>7</v>
      </c>
      <c r="P7" s="28" t="s">
        <v>31</v>
      </c>
      <c r="Q7" s="40"/>
      <c r="R7" s="36" t="s">
        <v>35</v>
      </c>
      <c r="S7" s="37">
        <f t="shared" si="3"/>
        <v>59</v>
      </c>
      <c r="T7" s="38">
        <f t="shared" si="4"/>
        <v>1.1375772098958832E-2</v>
      </c>
      <c r="U7" s="39">
        <f t="shared" si="6"/>
        <v>365.43833221168461</v>
      </c>
    </row>
    <row r="8" spans="1:21" ht="30" x14ac:dyDescent="0.25">
      <c r="A8" s="12">
        <v>7</v>
      </c>
      <c r="B8" s="13">
        <v>1963</v>
      </c>
      <c r="C8" s="14" t="s">
        <v>33</v>
      </c>
      <c r="D8" s="14">
        <v>44638</v>
      </c>
      <c r="E8" s="15">
        <v>57</v>
      </c>
      <c r="F8" s="13">
        <f>57+12</f>
        <v>69</v>
      </c>
      <c r="G8" s="13">
        <f t="shared" si="0"/>
        <v>216.76350000000002</v>
      </c>
      <c r="H8" s="13">
        <f t="shared" si="1"/>
        <v>0.21676350000000003</v>
      </c>
      <c r="I8" s="13">
        <v>10</v>
      </c>
      <c r="J8" s="13">
        <f t="shared" si="2"/>
        <v>10000</v>
      </c>
      <c r="K8" s="25">
        <f t="shared" si="5"/>
        <v>867.0540000000002</v>
      </c>
      <c r="L8" s="26">
        <v>143</v>
      </c>
      <c r="M8" s="54">
        <v>1.2</v>
      </c>
      <c r="N8" s="27" t="s">
        <v>34</v>
      </c>
      <c r="O8" s="51">
        <v>5.95</v>
      </c>
      <c r="P8" s="28"/>
      <c r="Q8" s="40"/>
      <c r="R8" s="36" t="s">
        <v>36</v>
      </c>
      <c r="S8" s="37">
        <f t="shared" si="3"/>
        <v>59</v>
      </c>
      <c r="T8" s="38">
        <f t="shared" si="4"/>
        <v>1.3112486635085305E-2</v>
      </c>
      <c r="U8" s="39">
        <f t="shared" si="6"/>
        <v>309.22258597260264</v>
      </c>
    </row>
    <row r="9" spans="1:21" ht="30" x14ac:dyDescent="0.25">
      <c r="A9" s="12">
        <v>8</v>
      </c>
      <c r="B9" s="13">
        <v>1963</v>
      </c>
      <c r="C9" s="14" t="s">
        <v>37</v>
      </c>
      <c r="D9" s="14">
        <v>44643</v>
      </c>
      <c r="E9" s="15">
        <v>159</v>
      </c>
      <c r="F9" s="13">
        <v>179</v>
      </c>
      <c r="G9" s="13">
        <f t="shared" si="0"/>
        <v>562.32850000000008</v>
      </c>
      <c r="H9" s="13">
        <f t="shared" si="1"/>
        <v>0.56232850000000012</v>
      </c>
      <c r="I9" s="13">
        <v>3</v>
      </c>
      <c r="J9" s="13">
        <f t="shared" si="2"/>
        <v>3000</v>
      </c>
      <c r="K9" s="25">
        <f t="shared" si="5"/>
        <v>674.79420000000016</v>
      </c>
      <c r="L9" s="26">
        <v>160</v>
      </c>
      <c r="M9" s="54">
        <v>1.4</v>
      </c>
      <c r="N9" s="27" t="s">
        <v>34</v>
      </c>
      <c r="O9" s="51">
        <v>8.6999999999999993</v>
      </c>
      <c r="P9" s="28" t="s">
        <v>31</v>
      </c>
      <c r="Q9" s="40"/>
      <c r="R9" s="36" t="s">
        <v>38</v>
      </c>
      <c r="S9" s="37">
        <f t="shared" si="3"/>
        <v>59</v>
      </c>
      <c r="T9" s="38">
        <f t="shared" si="4"/>
        <v>8.8634442099591957E-3</v>
      </c>
      <c r="U9" s="39">
        <f t="shared" si="6"/>
        <v>485.744641352521</v>
      </c>
    </row>
    <row r="10" spans="1:21" ht="30" x14ac:dyDescent="0.25">
      <c r="A10" s="12">
        <v>9</v>
      </c>
      <c r="B10" s="13">
        <v>1982</v>
      </c>
      <c r="C10" s="13" t="s">
        <v>39</v>
      </c>
      <c r="D10" s="14">
        <v>44643</v>
      </c>
      <c r="E10" s="15">
        <v>89</v>
      </c>
      <c r="F10" s="13">
        <f>89+9.2+9.2</f>
        <v>107.4</v>
      </c>
      <c r="G10" s="13">
        <f t="shared" si="0"/>
        <v>337.39710000000002</v>
      </c>
      <c r="H10" s="13">
        <f t="shared" si="1"/>
        <v>0.33739710000000001</v>
      </c>
      <c r="I10" s="13">
        <v>11</v>
      </c>
      <c r="J10" s="13">
        <f t="shared" si="2"/>
        <v>11000</v>
      </c>
      <c r="K10" s="25">
        <f t="shared" si="5"/>
        <v>1484.5472399999999</v>
      </c>
      <c r="L10" s="26">
        <v>148</v>
      </c>
      <c r="M10" s="54">
        <v>1.2</v>
      </c>
      <c r="N10" s="27" t="s">
        <v>22</v>
      </c>
      <c r="O10" s="51">
        <v>8.4</v>
      </c>
      <c r="P10" s="28"/>
      <c r="Q10" s="40"/>
      <c r="R10" s="36" t="s">
        <v>40</v>
      </c>
      <c r="S10" s="37">
        <f t="shared" si="3"/>
        <v>40</v>
      </c>
      <c r="T10" s="38">
        <f t="shared" si="4"/>
        <v>3.2785014218796558E-2</v>
      </c>
      <c r="U10" s="39">
        <f t="shared" si="6"/>
        <v>107.27197325826062</v>
      </c>
    </row>
    <row r="11" spans="1:21" ht="30" x14ac:dyDescent="0.25">
      <c r="A11" s="12">
        <v>10</v>
      </c>
      <c r="B11" s="13">
        <v>1973</v>
      </c>
      <c r="C11" s="13" t="s">
        <v>41</v>
      </c>
      <c r="D11" s="14">
        <v>44645</v>
      </c>
      <c r="E11" s="15">
        <v>219</v>
      </c>
      <c r="F11" s="13">
        <f>219+18</f>
        <v>237</v>
      </c>
      <c r="G11" s="13">
        <f t="shared" si="0"/>
        <v>744.53550000000007</v>
      </c>
      <c r="H11" s="13">
        <f t="shared" si="1"/>
        <v>0.74453550000000002</v>
      </c>
      <c r="I11" s="13">
        <v>6</v>
      </c>
      <c r="J11" s="13">
        <f t="shared" si="2"/>
        <v>6000</v>
      </c>
      <c r="K11" s="25">
        <f t="shared" si="5"/>
        <v>1786.8852000000002</v>
      </c>
      <c r="L11" s="26">
        <v>161</v>
      </c>
      <c r="M11" s="54">
        <v>2</v>
      </c>
      <c r="N11" s="27" t="s">
        <v>27</v>
      </c>
      <c r="O11" s="51">
        <v>1.5</v>
      </c>
      <c r="P11" s="28"/>
      <c r="Q11" s="40"/>
      <c r="R11" s="36" t="s">
        <v>42</v>
      </c>
      <c r="S11" s="37">
        <f t="shared" si="3"/>
        <v>49</v>
      </c>
      <c r="T11" s="38">
        <f t="shared" si="4"/>
        <v>3.0546218862079869E-2</v>
      </c>
      <c r="U11" s="39">
        <f t="shared" si="6"/>
        <v>109.0658398050103</v>
      </c>
    </row>
    <row r="12" spans="1:21" ht="30" x14ac:dyDescent="0.25">
      <c r="A12" s="12">
        <v>11</v>
      </c>
      <c r="B12" s="13">
        <v>1973</v>
      </c>
      <c r="C12" s="13" t="s">
        <v>41</v>
      </c>
      <c r="D12" s="14">
        <v>44648</v>
      </c>
      <c r="E12" s="15">
        <v>219</v>
      </c>
      <c r="F12" s="13">
        <f>219+9.1+9.1</f>
        <v>237.2</v>
      </c>
      <c r="G12" s="13">
        <f t="shared" si="0"/>
        <v>745.16380000000004</v>
      </c>
      <c r="H12" s="13">
        <f t="shared" si="1"/>
        <v>0.74516380000000004</v>
      </c>
      <c r="I12" s="13">
        <v>15</v>
      </c>
      <c r="J12" s="13">
        <f t="shared" si="2"/>
        <v>15000</v>
      </c>
      <c r="K12" s="25">
        <f t="shared" si="5"/>
        <v>4470.9828000000007</v>
      </c>
      <c r="L12" s="26">
        <v>149</v>
      </c>
      <c r="M12" s="54">
        <v>1.1000000000000001</v>
      </c>
      <c r="N12" s="27" t="s">
        <v>27</v>
      </c>
      <c r="O12" s="51"/>
      <c r="P12" s="28"/>
      <c r="Q12" s="40"/>
      <c r="R12" s="36" t="s">
        <v>43</v>
      </c>
      <c r="S12" s="37">
        <f t="shared" si="3"/>
        <v>49</v>
      </c>
      <c r="T12" s="38">
        <f t="shared" si="4"/>
        <v>4.9263244532745061E-2</v>
      </c>
      <c r="U12" s="39">
        <f>1/T12*LN(5*10^4/K12)</f>
        <v>49.010469734549091</v>
      </c>
    </row>
    <row r="13" spans="1:21" ht="30" x14ac:dyDescent="0.25">
      <c r="A13" s="12">
        <v>12</v>
      </c>
      <c r="B13" s="13">
        <v>1973</v>
      </c>
      <c r="C13" s="13" t="s">
        <v>41</v>
      </c>
      <c r="D13" s="14">
        <v>44649</v>
      </c>
      <c r="E13" s="15">
        <v>219</v>
      </c>
      <c r="F13" s="13">
        <v>239.4</v>
      </c>
      <c r="G13" s="13">
        <f t="shared" si="0"/>
        <v>752.07510000000002</v>
      </c>
      <c r="H13" s="13">
        <f t="shared" si="1"/>
        <v>0.7520751</v>
      </c>
      <c r="I13" s="13">
        <v>8</v>
      </c>
      <c r="J13" s="13">
        <f t="shared" si="2"/>
        <v>8000</v>
      </c>
      <c r="K13" s="25">
        <f t="shared" si="5"/>
        <v>2406.64032</v>
      </c>
      <c r="L13" s="26">
        <v>154</v>
      </c>
      <c r="M13" s="54">
        <v>1.1000000000000001</v>
      </c>
      <c r="N13" s="27" t="s">
        <v>34</v>
      </c>
      <c r="O13" s="51"/>
      <c r="P13" s="28"/>
      <c r="Q13" s="40"/>
      <c r="R13" s="36" t="s">
        <v>44</v>
      </c>
      <c r="S13" s="37">
        <f t="shared" si="3"/>
        <v>49</v>
      </c>
      <c r="T13" s="38">
        <f t="shared" si="4"/>
        <v>3.6622907115968086E-2</v>
      </c>
      <c r="U13" s="39">
        <f t="shared" si="6"/>
        <v>82.83862553601297</v>
      </c>
    </row>
    <row r="14" spans="1:21" ht="30" x14ac:dyDescent="0.25">
      <c r="A14" s="12">
        <v>13</v>
      </c>
      <c r="B14" s="13">
        <v>1973</v>
      </c>
      <c r="C14" s="13" t="s">
        <v>41</v>
      </c>
      <c r="D14" s="14">
        <v>44719</v>
      </c>
      <c r="E14" s="15">
        <v>108</v>
      </c>
      <c r="F14" s="13">
        <f>108+6.7+6.7</f>
        <v>121.4</v>
      </c>
      <c r="G14" s="13">
        <f t="shared" si="0"/>
        <v>381.37810000000002</v>
      </c>
      <c r="H14" s="13">
        <f t="shared" si="1"/>
        <v>0.3813781</v>
      </c>
      <c r="I14" s="13">
        <v>10</v>
      </c>
      <c r="J14" s="13">
        <f t="shared" si="2"/>
        <v>10000</v>
      </c>
      <c r="K14" s="25">
        <f t="shared" si="5"/>
        <v>1525.5124000000001</v>
      </c>
      <c r="L14" s="26">
        <v>139</v>
      </c>
      <c r="M14" s="54">
        <v>1.4</v>
      </c>
      <c r="N14" s="27" t="s">
        <v>27</v>
      </c>
      <c r="O14" s="51">
        <v>6</v>
      </c>
      <c r="P14" s="28"/>
      <c r="Q14" s="40"/>
      <c r="R14" s="36" t="s">
        <v>45</v>
      </c>
      <c r="S14" s="37">
        <f t="shared" si="3"/>
        <v>49</v>
      </c>
      <c r="T14" s="38">
        <f t="shared" si="4"/>
        <v>2.7318797663227982E-2</v>
      </c>
      <c r="U14" s="39">
        <f t="shared" si="6"/>
        <v>127.73961339086944</v>
      </c>
    </row>
    <row r="15" spans="1:21" ht="30" x14ac:dyDescent="0.25">
      <c r="A15" s="12">
        <v>14</v>
      </c>
      <c r="B15" s="13">
        <v>1963</v>
      </c>
      <c r="C15" s="13" t="s">
        <v>46</v>
      </c>
      <c r="D15" s="14">
        <v>44651</v>
      </c>
      <c r="E15" s="15">
        <v>108</v>
      </c>
      <c r="F15" s="13">
        <f>108+6.1+6.1</f>
        <v>120.19999999999999</v>
      </c>
      <c r="G15" s="13">
        <f t="shared" si="0"/>
        <v>377.60829999999999</v>
      </c>
      <c r="H15" s="13">
        <f t="shared" si="1"/>
        <v>0.37760830000000001</v>
      </c>
      <c r="I15" s="13">
        <v>25</v>
      </c>
      <c r="J15" s="13">
        <f t="shared" si="2"/>
        <v>25000</v>
      </c>
      <c r="K15" s="25">
        <v>3177</v>
      </c>
      <c r="L15" s="26">
        <v>142</v>
      </c>
      <c r="M15" s="54">
        <v>1.5</v>
      </c>
      <c r="N15" s="27" t="s">
        <v>27</v>
      </c>
      <c r="O15" s="51">
        <v>6.1</v>
      </c>
      <c r="P15" s="28"/>
      <c r="Q15" s="40"/>
      <c r="R15" s="36" t="s">
        <v>47</v>
      </c>
      <c r="S15" s="37">
        <f t="shared" si="3"/>
        <v>59</v>
      </c>
      <c r="T15" s="38">
        <f t="shared" si="4"/>
        <v>3.5122509951890403E-2</v>
      </c>
      <c r="U15" s="39">
        <f t="shared" si="6"/>
        <v>78.470634755772238</v>
      </c>
    </row>
    <row r="16" spans="1:21" ht="30" x14ac:dyDescent="0.25">
      <c r="A16" s="12">
        <v>15</v>
      </c>
      <c r="B16" s="13">
        <v>1983</v>
      </c>
      <c r="C16" s="13" t="s">
        <v>48</v>
      </c>
      <c r="D16" s="14">
        <v>44666</v>
      </c>
      <c r="E16" s="15">
        <v>108</v>
      </c>
      <c r="F16" s="13">
        <f>108+9.6+9.6</f>
        <v>127.19999999999999</v>
      </c>
      <c r="G16" s="13">
        <f t="shared" si="0"/>
        <v>399.59879999999998</v>
      </c>
      <c r="H16" s="13">
        <f t="shared" si="1"/>
        <v>0.39959879999999998</v>
      </c>
      <c r="I16" s="13">
        <v>7</v>
      </c>
      <c r="J16" s="13">
        <f t="shared" si="2"/>
        <v>7000</v>
      </c>
      <c r="K16" s="25">
        <f>0.4*H16*J16</f>
        <v>1118.8766400000002</v>
      </c>
      <c r="L16" s="26">
        <v>147</v>
      </c>
      <c r="M16" s="54">
        <v>1.5</v>
      </c>
      <c r="N16" s="27" t="s">
        <v>27</v>
      </c>
      <c r="O16" s="51">
        <v>5.7</v>
      </c>
      <c r="P16" s="28"/>
      <c r="Q16" s="40"/>
      <c r="R16" s="36" t="s">
        <v>49</v>
      </c>
      <c r="S16" s="37">
        <f t="shared" si="3"/>
        <v>39</v>
      </c>
      <c r="T16" s="38">
        <f t="shared" si="4"/>
        <v>2.6374767021540072E-2</v>
      </c>
      <c r="U16" s="39">
        <f t="shared" si="6"/>
        <v>144.06564502954865</v>
      </c>
    </row>
    <row r="17" spans="1:21" ht="30" x14ac:dyDescent="0.25">
      <c r="A17" s="12">
        <v>16</v>
      </c>
      <c r="B17" s="16">
        <v>1983</v>
      </c>
      <c r="C17" s="16" t="s">
        <v>48</v>
      </c>
      <c r="D17" s="17">
        <v>44666</v>
      </c>
      <c r="E17" s="18">
        <v>108</v>
      </c>
      <c r="F17" s="16">
        <f>108+20</f>
        <v>128</v>
      </c>
      <c r="G17" s="16">
        <f t="shared" si="0"/>
        <v>402.11200000000002</v>
      </c>
      <c r="H17" s="16">
        <f t="shared" si="1"/>
        <v>0.40211200000000002</v>
      </c>
      <c r="I17" s="16">
        <v>11</v>
      </c>
      <c r="J17" s="16">
        <f t="shared" si="2"/>
        <v>11000</v>
      </c>
      <c r="K17" s="29">
        <f>0.4*H17*J17</f>
        <v>1769.2928000000002</v>
      </c>
      <c r="L17" s="30">
        <v>116</v>
      </c>
      <c r="M17" s="54">
        <v>0.8</v>
      </c>
      <c r="N17" s="27" t="s">
        <v>27</v>
      </c>
      <c r="O17" s="51">
        <v>6.6</v>
      </c>
      <c r="P17" s="28"/>
      <c r="Q17" s="40"/>
      <c r="R17" s="36" t="s">
        <v>50</v>
      </c>
      <c r="S17" s="37">
        <f t="shared" si="3"/>
        <v>39</v>
      </c>
      <c r="T17" s="38">
        <f t="shared" si="4"/>
        <v>3.8124888476838856E-2</v>
      </c>
      <c r="U17" s="39">
        <f t="shared" si="6"/>
        <v>87.644665209592318</v>
      </c>
    </row>
    <row r="18" spans="1:21" x14ac:dyDescent="0.25">
      <c r="A18" s="12">
        <v>17</v>
      </c>
      <c r="B18" s="13">
        <v>1983</v>
      </c>
      <c r="C18" s="13" t="s">
        <v>51</v>
      </c>
      <c r="D18" s="19">
        <v>44720</v>
      </c>
      <c r="E18" s="15">
        <v>57</v>
      </c>
      <c r="F18" s="13">
        <f>57+9.4+9.4</f>
        <v>75.800000000000011</v>
      </c>
      <c r="G18" s="13">
        <f t="shared" si="0"/>
        <v>238.12570000000005</v>
      </c>
      <c r="H18" s="13">
        <f t="shared" si="1"/>
        <v>0.23812570000000005</v>
      </c>
      <c r="I18" s="13">
        <v>10</v>
      </c>
      <c r="J18" s="13">
        <f t="shared" si="2"/>
        <v>10000</v>
      </c>
      <c r="K18" s="25">
        <v>832</v>
      </c>
      <c r="L18" s="31">
        <v>148</v>
      </c>
      <c r="M18" s="54"/>
      <c r="N18" s="27"/>
      <c r="O18" s="51"/>
      <c r="P18" s="28"/>
      <c r="Q18" s="40"/>
      <c r="R18" s="36"/>
      <c r="S18" s="37">
        <f t="shared" si="3"/>
        <v>39</v>
      </c>
      <c r="T18" s="38">
        <f t="shared" si="4"/>
        <v>1.8778663941364786E-2</v>
      </c>
      <c r="U18" s="39">
        <f t="shared" si="6"/>
        <v>218.11700003676575</v>
      </c>
    </row>
    <row r="19" spans="1:21" ht="30" x14ac:dyDescent="0.25">
      <c r="A19" s="12">
        <v>18</v>
      </c>
      <c r="B19" s="13">
        <v>1983</v>
      </c>
      <c r="C19" s="13" t="s">
        <v>52</v>
      </c>
      <c r="D19" s="19">
        <v>44721</v>
      </c>
      <c r="E19" s="15">
        <v>89</v>
      </c>
      <c r="F19" s="13">
        <f>89+9.9+9.9</f>
        <v>108.80000000000001</v>
      </c>
      <c r="G19" s="13">
        <f t="shared" si="0"/>
        <v>341.79520000000008</v>
      </c>
      <c r="H19" s="13">
        <f t="shared" si="1"/>
        <v>0.34179520000000008</v>
      </c>
      <c r="I19" s="13">
        <v>11.5</v>
      </c>
      <c r="J19" s="13">
        <f t="shared" si="2"/>
        <v>11500</v>
      </c>
      <c r="K19" s="25">
        <v>1426</v>
      </c>
      <c r="L19" s="31">
        <v>132</v>
      </c>
      <c r="M19" s="54">
        <v>2</v>
      </c>
      <c r="N19" s="27" t="s">
        <v>34</v>
      </c>
      <c r="O19" s="51">
        <v>9</v>
      </c>
      <c r="P19" s="28"/>
      <c r="Q19" s="40"/>
      <c r="R19" s="36" t="s">
        <v>53</v>
      </c>
      <c r="S19" s="37">
        <f t="shared" si="3"/>
        <v>39</v>
      </c>
      <c r="T19" s="38">
        <f t="shared" si="4"/>
        <v>3.259395009913485E-2</v>
      </c>
      <c r="U19" s="39">
        <f t="shared" si="6"/>
        <v>109.1352742646084</v>
      </c>
    </row>
    <row r="20" spans="1:21" ht="75" x14ac:dyDescent="0.25">
      <c r="A20" s="12">
        <v>19</v>
      </c>
      <c r="B20" s="13">
        <v>1964</v>
      </c>
      <c r="C20" s="14" t="s">
        <v>54</v>
      </c>
      <c r="D20" s="14">
        <v>44725</v>
      </c>
      <c r="E20" s="15">
        <v>57</v>
      </c>
      <c r="F20" s="13">
        <f>57+9.9+9.9</f>
        <v>76.800000000000011</v>
      </c>
      <c r="G20" s="13">
        <f t="shared" si="0"/>
        <v>241.26720000000006</v>
      </c>
      <c r="H20" s="13">
        <f t="shared" si="1"/>
        <v>0.24126720000000007</v>
      </c>
      <c r="I20" s="13">
        <v>11</v>
      </c>
      <c r="J20" s="13">
        <f t="shared" si="2"/>
        <v>11000</v>
      </c>
      <c r="K20" s="25">
        <v>924</v>
      </c>
      <c r="L20" s="31">
        <v>142</v>
      </c>
      <c r="M20" s="54">
        <v>2</v>
      </c>
      <c r="N20" s="27" t="s">
        <v>34</v>
      </c>
      <c r="O20" s="51">
        <v>7.4</v>
      </c>
      <c r="P20" s="28"/>
      <c r="Q20" s="40"/>
      <c r="R20" s="36" t="s">
        <v>55</v>
      </c>
      <c r="S20" s="37">
        <f t="shared" si="3"/>
        <v>58</v>
      </c>
      <c r="T20" s="38">
        <f t="shared" si="4"/>
        <v>1.4435302147132796E-2</v>
      </c>
      <c r="U20" s="39">
        <f t="shared" si="6"/>
        <v>276.47957570194143</v>
      </c>
    </row>
    <row r="21" spans="1:21" ht="30" x14ac:dyDescent="0.25">
      <c r="A21" s="12">
        <v>20</v>
      </c>
      <c r="B21" s="13">
        <v>1968</v>
      </c>
      <c r="C21" s="13" t="s">
        <v>56</v>
      </c>
      <c r="D21" s="14">
        <v>44729</v>
      </c>
      <c r="E21" s="15">
        <v>89</v>
      </c>
      <c r="F21" s="13">
        <f>89+9.6+9.6</f>
        <v>108.19999999999999</v>
      </c>
      <c r="G21" s="13">
        <f t="shared" si="0"/>
        <v>339.91030000000001</v>
      </c>
      <c r="H21" s="13">
        <f t="shared" si="1"/>
        <v>0.3399103</v>
      </c>
      <c r="I21" s="13">
        <v>12</v>
      </c>
      <c r="J21" s="13">
        <f t="shared" si="2"/>
        <v>12000</v>
      </c>
      <c r="K21" s="25">
        <v>1483</v>
      </c>
      <c r="L21" s="31">
        <v>127</v>
      </c>
      <c r="M21" s="54">
        <v>1</v>
      </c>
      <c r="N21" s="27" t="s">
        <v>27</v>
      </c>
      <c r="O21" s="51">
        <v>6.1</v>
      </c>
      <c r="P21" s="28"/>
      <c r="Q21" s="40"/>
      <c r="R21" s="36" t="s">
        <v>57</v>
      </c>
      <c r="S21" s="37">
        <f t="shared" si="3"/>
        <v>54</v>
      </c>
      <c r="T21" s="38">
        <f t="shared" si="4"/>
        <v>2.4265885093147224E-2</v>
      </c>
      <c r="U21" s="39">
        <f t="shared" si="6"/>
        <v>144.97538123041039</v>
      </c>
    </row>
    <row r="22" spans="1:21" ht="30" x14ac:dyDescent="0.25">
      <c r="A22" s="12">
        <v>21</v>
      </c>
      <c r="B22" s="13">
        <v>1968</v>
      </c>
      <c r="C22" s="13" t="s">
        <v>56</v>
      </c>
      <c r="D22" s="14">
        <v>44728</v>
      </c>
      <c r="E22" s="15">
        <v>89</v>
      </c>
      <c r="F22" s="13">
        <f>89+8.6+8.6</f>
        <v>106.19999999999999</v>
      </c>
      <c r="G22" s="13">
        <f t="shared" si="0"/>
        <v>333.62729999999999</v>
      </c>
      <c r="H22" s="13">
        <f t="shared" si="1"/>
        <v>0.33362730000000002</v>
      </c>
      <c r="I22" s="13">
        <v>13</v>
      </c>
      <c r="J22" s="13">
        <f t="shared" si="2"/>
        <v>13000</v>
      </c>
      <c r="K22" s="25">
        <v>1606</v>
      </c>
      <c r="L22" s="31">
        <v>134</v>
      </c>
      <c r="M22" s="54">
        <v>1</v>
      </c>
      <c r="N22" s="27" t="s">
        <v>27</v>
      </c>
      <c r="O22" s="51">
        <v>6.5</v>
      </c>
      <c r="P22" s="28"/>
      <c r="Q22" s="28"/>
      <c r="R22" s="13" t="s">
        <v>57</v>
      </c>
      <c r="S22" s="37">
        <f t="shared" si="3"/>
        <v>54</v>
      </c>
      <c r="T22" s="38">
        <f t="shared" si="4"/>
        <v>2.5741432359235643E-2</v>
      </c>
      <c r="U22" s="39">
        <f t="shared" si="6"/>
        <v>133.56973854137428</v>
      </c>
    </row>
    <row r="23" spans="1:21" ht="30" x14ac:dyDescent="0.25">
      <c r="A23" s="12">
        <v>22</v>
      </c>
      <c r="B23" s="13">
        <v>1968</v>
      </c>
      <c r="C23" s="13" t="s">
        <v>56</v>
      </c>
      <c r="D23" s="14">
        <v>44728</v>
      </c>
      <c r="E23" s="15">
        <v>89</v>
      </c>
      <c r="F23" s="13">
        <f>89+9.2+9.2</f>
        <v>107.4</v>
      </c>
      <c r="G23" s="13">
        <f t="shared" si="0"/>
        <v>337.39710000000002</v>
      </c>
      <c r="H23" s="13">
        <f t="shared" si="1"/>
        <v>0.33739710000000001</v>
      </c>
      <c r="I23" s="13">
        <v>10</v>
      </c>
      <c r="J23" s="13">
        <f t="shared" si="2"/>
        <v>10000</v>
      </c>
      <c r="K23" s="25">
        <v>1236</v>
      </c>
      <c r="L23" s="31">
        <v>129</v>
      </c>
      <c r="M23" s="54">
        <v>0.98</v>
      </c>
      <c r="N23" s="27" t="s">
        <v>27</v>
      </c>
      <c r="O23" s="51">
        <v>7.2</v>
      </c>
      <c r="P23" s="28"/>
      <c r="Q23" s="40"/>
      <c r="R23" s="36" t="s">
        <v>57</v>
      </c>
      <c r="S23" s="37">
        <f t="shared" si="3"/>
        <v>54</v>
      </c>
      <c r="T23" s="38">
        <f t="shared" si="4"/>
        <v>2.0892057239067667E-2</v>
      </c>
      <c r="U23" s="39">
        <f t="shared" si="6"/>
        <v>177.10762535503039</v>
      </c>
    </row>
    <row r="24" spans="1:21" ht="30" x14ac:dyDescent="0.25">
      <c r="A24" s="12">
        <v>23</v>
      </c>
      <c r="B24" s="13">
        <v>1983</v>
      </c>
      <c r="C24" s="13" t="s">
        <v>58</v>
      </c>
      <c r="D24" s="14">
        <v>44729</v>
      </c>
      <c r="E24" s="15">
        <v>57</v>
      </c>
      <c r="F24" s="13">
        <f>57+16</f>
        <v>73</v>
      </c>
      <c r="G24" s="13">
        <f t="shared" si="0"/>
        <v>229.32950000000002</v>
      </c>
      <c r="H24" s="13">
        <f t="shared" si="1"/>
        <v>0.22932950000000002</v>
      </c>
      <c r="I24" s="13">
        <v>10</v>
      </c>
      <c r="J24" s="13">
        <f t="shared" si="2"/>
        <v>10000</v>
      </c>
      <c r="K24" s="25">
        <v>816</v>
      </c>
      <c r="L24" s="31">
        <v>143</v>
      </c>
      <c r="M24" s="54">
        <v>0.7</v>
      </c>
      <c r="N24" s="27" t="s">
        <v>34</v>
      </c>
      <c r="O24" s="51">
        <v>6.6</v>
      </c>
      <c r="P24" s="28"/>
      <c r="Q24" s="40"/>
      <c r="R24" s="36" t="s">
        <v>59</v>
      </c>
      <c r="S24" s="37">
        <f t="shared" si="3"/>
        <v>39</v>
      </c>
      <c r="T24" s="38">
        <f t="shared" si="4"/>
        <v>1.8280764304003206E-2</v>
      </c>
      <c r="U24" s="39">
        <f t="shared" si="6"/>
        <v>225.11990532830049</v>
      </c>
    </row>
    <row r="25" spans="1:21" x14ac:dyDescent="0.25">
      <c r="A25" s="12">
        <v>24</v>
      </c>
      <c r="B25" s="13">
        <v>1960</v>
      </c>
      <c r="C25" s="13" t="s">
        <v>60</v>
      </c>
      <c r="D25" s="14">
        <v>44670</v>
      </c>
      <c r="E25" s="15">
        <v>125</v>
      </c>
      <c r="F25" s="13">
        <f>125+16</f>
        <v>141</v>
      </c>
      <c r="G25" s="13">
        <f t="shared" si="0"/>
        <v>442.95150000000001</v>
      </c>
      <c r="H25" s="13">
        <f t="shared" si="1"/>
        <v>0.4429515</v>
      </c>
      <c r="I25" s="13">
        <v>6</v>
      </c>
      <c r="J25" s="13">
        <f t="shared" si="2"/>
        <v>6000</v>
      </c>
      <c r="K25" s="25">
        <f t="shared" ref="K25:K52" si="7">0.4*H25*J25</f>
        <v>1063.0836000000002</v>
      </c>
      <c r="L25" s="31">
        <v>140</v>
      </c>
      <c r="M25" s="54">
        <v>1</v>
      </c>
      <c r="N25" s="27" t="s">
        <v>27</v>
      </c>
      <c r="O25" s="51"/>
      <c r="P25" s="28"/>
      <c r="Q25" s="40"/>
      <c r="R25" s="36"/>
      <c r="S25" s="37">
        <f t="shared" si="3"/>
        <v>62</v>
      </c>
      <c r="T25" s="38">
        <f t="shared" si="4"/>
        <v>1.5765556023950824E-2</v>
      </c>
      <c r="U25" s="39">
        <f t="shared" si="6"/>
        <v>244.25711709547005</v>
      </c>
    </row>
    <row r="26" spans="1:21" ht="30" x14ac:dyDescent="0.25">
      <c r="A26" s="12">
        <v>25</v>
      </c>
      <c r="B26" s="13">
        <v>1960</v>
      </c>
      <c r="C26" s="13" t="s">
        <v>60</v>
      </c>
      <c r="D26" s="14">
        <v>44669</v>
      </c>
      <c r="E26" s="15">
        <v>133</v>
      </c>
      <c r="F26" s="13">
        <f>133+9.9+9.9</f>
        <v>152.80000000000001</v>
      </c>
      <c r="G26" s="13">
        <f t="shared" si="0"/>
        <v>480.02120000000008</v>
      </c>
      <c r="H26" s="13">
        <f t="shared" si="1"/>
        <v>0.48002120000000009</v>
      </c>
      <c r="I26" s="13">
        <v>4</v>
      </c>
      <c r="J26" s="13">
        <f t="shared" si="2"/>
        <v>4000</v>
      </c>
      <c r="K26" s="25">
        <f t="shared" si="7"/>
        <v>768.03392000000019</v>
      </c>
      <c r="L26" s="31">
        <v>154</v>
      </c>
      <c r="M26" s="54">
        <v>1.75</v>
      </c>
      <c r="N26" s="27" t="s">
        <v>27</v>
      </c>
      <c r="O26" s="51">
        <v>7</v>
      </c>
      <c r="P26" s="28" t="s">
        <v>31</v>
      </c>
      <c r="Q26" s="40"/>
      <c r="R26" s="36" t="s">
        <v>61</v>
      </c>
      <c r="S26" s="37">
        <f t="shared" si="3"/>
        <v>62</v>
      </c>
      <c r="T26" s="38">
        <f t="shared" si="4"/>
        <v>1.0522086318242557E-2</v>
      </c>
      <c r="U26" s="39">
        <f t="shared" si="6"/>
        <v>396.87418058253928</v>
      </c>
    </row>
    <row r="27" spans="1:21" ht="30" x14ac:dyDescent="0.25">
      <c r="A27" s="12">
        <v>26</v>
      </c>
      <c r="B27" s="13">
        <v>1960</v>
      </c>
      <c r="C27" s="13" t="s">
        <v>60</v>
      </c>
      <c r="D27" s="14">
        <v>44670</v>
      </c>
      <c r="E27" s="15">
        <v>133</v>
      </c>
      <c r="F27" s="13">
        <v>153</v>
      </c>
      <c r="G27" s="13">
        <f t="shared" si="0"/>
        <v>480.64950000000005</v>
      </c>
      <c r="H27" s="13">
        <f t="shared" si="1"/>
        <v>0.48064950000000006</v>
      </c>
      <c r="I27" s="13">
        <v>6</v>
      </c>
      <c r="J27" s="13">
        <f t="shared" si="2"/>
        <v>6000</v>
      </c>
      <c r="K27" s="25">
        <f t="shared" si="7"/>
        <v>1153.5588000000002</v>
      </c>
      <c r="L27" s="31">
        <v>135</v>
      </c>
      <c r="M27" s="54">
        <v>1.7</v>
      </c>
      <c r="N27" s="27" t="s">
        <v>62</v>
      </c>
      <c r="O27" s="51">
        <v>2.6</v>
      </c>
      <c r="P27" s="28"/>
      <c r="Q27" s="40"/>
      <c r="R27" s="36" t="s">
        <v>63</v>
      </c>
      <c r="S27" s="37">
        <f t="shared" si="3"/>
        <v>62</v>
      </c>
      <c r="T27" s="38">
        <f t="shared" si="4"/>
        <v>1.7082943620955131E-2</v>
      </c>
      <c r="U27" s="39">
        <f t="shared" si="6"/>
        <v>220.63944694985437</v>
      </c>
    </row>
    <row r="28" spans="1:21" ht="30" x14ac:dyDescent="0.25">
      <c r="A28" s="12">
        <v>27</v>
      </c>
      <c r="B28" s="13">
        <v>1960</v>
      </c>
      <c r="C28" s="13" t="s">
        <v>60</v>
      </c>
      <c r="D28" s="14">
        <v>44671</v>
      </c>
      <c r="E28" s="15">
        <v>133</v>
      </c>
      <c r="F28" s="13">
        <v>152.80000000000001</v>
      </c>
      <c r="G28" s="13">
        <f t="shared" si="0"/>
        <v>480.02120000000008</v>
      </c>
      <c r="H28" s="13">
        <f t="shared" si="1"/>
        <v>0.48002120000000009</v>
      </c>
      <c r="I28" s="13">
        <v>7</v>
      </c>
      <c r="J28" s="13">
        <f t="shared" si="2"/>
        <v>7000</v>
      </c>
      <c r="K28" s="25">
        <f t="shared" si="7"/>
        <v>1344.0593600000002</v>
      </c>
      <c r="L28" s="31">
        <v>136</v>
      </c>
      <c r="M28" s="54">
        <v>1.3</v>
      </c>
      <c r="N28" s="27" t="s">
        <v>27</v>
      </c>
      <c r="O28" s="51">
        <v>9.9</v>
      </c>
      <c r="P28" s="28"/>
      <c r="Q28" s="40"/>
      <c r="R28" s="36" t="s">
        <v>63</v>
      </c>
      <c r="S28" s="37">
        <f t="shared" si="3"/>
        <v>62</v>
      </c>
      <c r="T28" s="38">
        <f t="shared" si="4"/>
        <v>1.9548147413975179E-2</v>
      </c>
      <c r="U28" s="39">
        <f t="shared" si="6"/>
        <v>184.99597537567618</v>
      </c>
    </row>
    <row r="29" spans="1:21" ht="30" x14ac:dyDescent="0.25">
      <c r="A29" s="12">
        <v>28</v>
      </c>
      <c r="B29" s="13">
        <v>1960</v>
      </c>
      <c r="C29" s="13" t="s">
        <v>60</v>
      </c>
      <c r="D29" s="14">
        <v>44676</v>
      </c>
      <c r="E29" s="15">
        <v>133</v>
      </c>
      <c r="F29" s="13">
        <f>133+4.8+4.8</f>
        <v>142.60000000000002</v>
      </c>
      <c r="G29" s="13">
        <f t="shared" si="0"/>
        <v>447.97790000000009</v>
      </c>
      <c r="H29" s="13">
        <f t="shared" si="1"/>
        <v>0.4479779000000001</v>
      </c>
      <c r="I29" s="13">
        <v>6</v>
      </c>
      <c r="J29" s="13">
        <f t="shared" si="2"/>
        <v>6000</v>
      </c>
      <c r="K29" s="25">
        <f t="shared" si="7"/>
        <v>1075.1469600000003</v>
      </c>
      <c r="L29" s="31">
        <v>131</v>
      </c>
      <c r="M29" s="54">
        <v>1</v>
      </c>
      <c r="N29" s="27" t="s">
        <v>27</v>
      </c>
      <c r="O29" s="51">
        <v>4.4000000000000004</v>
      </c>
      <c r="P29" s="28"/>
      <c r="Q29" s="40"/>
      <c r="R29" s="36" t="s">
        <v>63</v>
      </c>
      <c r="S29" s="37">
        <f t="shared" si="3"/>
        <v>62</v>
      </c>
      <c r="T29" s="38">
        <f t="shared" si="4"/>
        <v>1.5947549856241586E-2</v>
      </c>
      <c r="U29" s="39">
        <f t="shared" si="6"/>
        <v>240.76210332163251</v>
      </c>
    </row>
    <row r="30" spans="1:21" ht="30" x14ac:dyDescent="0.25">
      <c r="A30" s="12">
        <v>29</v>
      </c>
      <c r="B30" s="13">
        <v>1960</v>
      </c>
      <c r="C30" s="13" t="s">
        <v>60</v>
      </c>
      <c r="D30" s="14">
        <v>44677</v>
      </c>
      <c r="E30" s="15">
        <v>133</v>
      </c>
      <c r="F30" s="13">
        <f>133+18</f>
        <v>151</v>
      </c>
      <c r="G30" s="13">
        <f t="shared" si="0"/>
        <v>474.36650000000003</v>
      </c>
      <c r="H30" s="13">
        <f t="shared" si="1"/>
        <v>0.47436650000000002</v>
      </c>
      <c r="I30" s="13">
        <v>7</v>
      </c>
      <c r="J30" s="13">
        <f t="shared" si="2"/>
        <v>7000</v>
      </c>
      <c r="K30" s="25">
        <f t="shared" si="7"/>
        <v>1328.2262000000001</v>
      </c>
      <c r="L30" s="31">
        <v>150</v>
      </c>
      <c r="M30" s="54">
        <v>1.5</v>
      </c>
      <c r="N30" s="27" t="s">
        <v>27</v>
      </c>
      <c r="O30" s="51">
        <v>7.2</v>
      </c>
      <c r="P30" s="28"/>
      <c r="Q30" s="40"/>
      <c r="R30" s="36" t="s">
        <v>63</v>
      </c>
      <c r="S30" s="37">
        <f t="shared" si="3"/>
        <v>62</v>
      </c>
      <c r="T30" s="38">
        <f t="shared" si="4"/>
        <v>1.9357017737886537E-2</v>
      </c>
      <c r="U30" s="39">
        <f t="shared" si="6"/>
        <v>187.43479427887698</v>
      </c>
    </row>
    <row r="31" spans="1:21" x14ac:dyDescent="0.25">
      <c r="A31" s="12">
        <v>30</v>
      </c>
      <c r="B31" s="13">
        <v>1960</v>
      </c>
      <c r="C31" s="13" t="s">
        <v>60</v>
      </c>
      <c r="D31" s="14">
        <v>44677</v>
      </c>
      <c r="E31" s="15">
        <v>133</v>
      </c>
      <c r="F31" s="13">
        <v>151</v>
      </c>
      <c r="G31" s="13">
        <f t="shared" si="0"/>
        <v>474.36650000000003</v>
      </c>
      <c r="H31" s="13">
        <f t="shared" si="1"/>
        <v>0.47436650000000002</v>
      </c>
      <c r="I31" s="13">
        <v>4</v>
      </c>
      <c r="J31" s="13">
        <f t="shared" si="2"/>
        <v>4000</v>
      </c>
      <c r="K31" s="25">
        <f t="shared" si="7"/>
        <v>758.98640000000012</v>
      </c>
      <c r="L31" s="31">
        <v>142</v>
      </c>
      <c r="M31" s="54">
        <v>1.7</v>
      </c>
      <c r="N31" s="27" t="s">
        <v>27</v>
      </c>
      <c r="O31" s="51">
        <v>7.8</v>
      </c>
      <c r="P31" s="28" t="s">
        <v>31</v>
      </c>
      <c r="Q31" s="40"/>
      <c r="R31" s="36" t="s">
        <v>64</v>
      </c>
      <c r="S31" s="37">
        <f t="shared" si="3"/>
        <v>62</v>
      </c>
      <c r="T31" s="38">
        <f t="shared" si="4"/>
        <v>1.0330956642153914E-2</v>
      </c>
      <c r="U31" s="39">
        <f t="shared" si="6"/>
        <v>405.36366287717181</v>
      </c>
    </row>
    <row r="32" spans="1:21" ht="30" x14ac:dyDescent="0.25">
      <c r="A32" s="12">
        <v>31</v>
      </c>
      <c r="B32" s="13">
        <v>1960</v>
      </c>
      <c r="C32" s="13" t="s">
        <v>60</v>
      </c>
      <c r="D32" s="14">
        <v>44678</v>
      </c>
      <c r="E32" s="15">
        <v>133</v>
      </c>
      <c r="F32" s="13">
        <v>153</v>
      </c>
      <c r="G32" s="13">
        <f t="shared" si="0"/>
        <v>480.64950000000005</v>
      </c>
      <c r="H32" s="13">
        <f t="shared" si="1"/>
        <v>0.48064950000000006</v>
      </c>
      <c r="I32" s="13">
        <v>36</v>
      </c>
      <c r="J32" s="13">
        <f t="shared" si="2"/>
        <v>36000</v>
      </c>
      <c r="K32" s="25">
        <f t="shared" si="7"/>
        <v>6921.3528000000015</v>
      </c>
      <c r="L32" s="31">
        <v>127</v>
      </c>
      <c r="M32" s="54">
        <v>1.7</v>
      </c>
      <c r="N32" s="27" t="s">
        <v>27</v>
      </c>
      <c r="O32" s="51">
        <v>9.6999999999999993</v>
      </c>
      <c r="P32" s="28"/>
      <c r="Q32" s="40"/>
      <c r="R32" s="36" t="s">
        <v>63</v>
      </c>
      <c r="S32" s="37">
        <f t="shared" si="3"/>
        <v>62</v>
      </c>
      <c r="T32" s="38">
        <f t="shared" si="4"/>
        <v>4.5982289898826988E-2</v>
      </c>
      <c r="U32" s="39">
        <f t="shared" si="6"/>
        <v>43.003768797201026</v>
      </c>
    </row>
    <row r="33" spans="1:21" ht="30" x14ac:dyDescent="0.25">
      <c r="A33" s="12">
        <v>32</v>
      </c>
      <c r="B33" s="13">
        <v>1962</v>
      </c>
      <c r="C33" s="13" t="s">
        <v>65</v>
      </c>
      <c r="D33" s="14">
        <v>44659</v>
      </c>
      <c r="E33" s="15">
        <v>89</v>
      </c>
      <c r="F33" s="13">
        <f>89+8.5+8.5</f>
        <v>106</v>
      </c>
      <c r="G33" s="13">
        <f t="shared" si="0"/>
        <v>332.99900000000002</v>
      </c>
      <c r="H33" s="13">
        <f t="shared" si="1"/>
        <v>0.33299900000000004</v>
      </c>
      <c r="I33" s="13">
        <v>9</v>
      </c>
      <c r="J33" s="13">
        <f t="shared" si="2"/>
        <v>9000</v>
      </c>
      <c r="K33" s="25">
        <f t="shared" si="7"/>
        <v>1198.7964000000002</v>
      </c>
      <c r="L33" s="31">
        <v>123</v>
      </c>
      <c r="M33" s="54">
        <v>1.3</v>
      </c>
      <c r="N33" s="27" t="s">
        <v>34</v>
      </c>
      <c r="O33" s="51"/>
      <c r="P33" s="28"/>
      <c r="Q33" s="40"/>
      <c r="R33" s="36" t="s">
        <v>66</v>
      </c>
      <c r="S33" s="37">
        <f t="shared" si="3"/>
        <v>60</v>
      </c>
      <c r="T33" s="38">
        <f t="shared" si="4"/>
        <v>1.8293479755450238E-2</v>
      </c>
      <c r="U33" s="39">
        <f t="shared" si="6"/>
        <v>203.93632058240777</v>
      </c>
    </row>
    <row r="34" spans="1:21" ht="30" x14ac:dyDescent="0.25">
      <c r="A34" s="12">
        <v>33</v>
      </c>
      <c r="B34" s="13">
        <v>1961</v>
      </c>
      <c r="C34" s="13" t="s">
        <v>67</v>
      </c>
      <c r="D34" s="14">
        <v>44656</v>
      </c>
      <c r="E34" s="15">
        <v>108</v>
      </c>
      <c r="F34" s="13">
        <f>108+6.6+6.6</f>
        <v>121.19999999999999</v>
      </c>
      <c r="G34" s="13">
        <f t="shared" si="0"/>
        <v>380.74979999999999</v>
      </c>
      <c r="H34" s="13">
        <f t="shared" si="1"/>
        <v>0.38074979999999997</v>
      </c>
      <c r="I34" s="13">
        <v>13</v>
      </c>
      <c r="J34" s="13">
        <f t="shared" si="2"/>
        <v>13000</v>
      </c>
      <c r="K34" s="25">
        <f t="shared" si="7"/>
        <v>1979.89896</v>
      </c>
      <c r="L34" s="31">
        <v>122</v>
      </c>
      <c r="M34" s="54">
        <v>1.2</v>
      </c>
      <c r="N34" s="27" t="s">
        <v>34</v>
      </c>
      <c r="O34" s="51"/>
      <c r="P34" s="28"/>
      <c r="Q34" s="40"/>
      <c r="R34" s="36" t="s">
        <v>68</v>
      </c>
      <c r="S34" s="37">
        <f t="shared" si="3"/>
        <v>61</v>
      </c>
      <c r="T34" s="38">
        <f t="shared" si="4"/>
        <v>2.6218631884843909E-2</v>
      </c>
      <c r="U34" s="39">
        <f t="shared" si="6"/>
        <v>123.15582317601339</v>
      </c>
    </row>
    <row r="35" spans="1:21" ht="30" x14ac:dyDescent="0.25">
      <c r="A35" s="12">
        <v>34</v>
      </c>
      <c r="B35" s="13">
        <v>1982</v>
      </c>
      <c r="C35" s="13" t="s">
        <v>69</v>
      </c>
      <c r="D35" s="14">
        <v>44658</v>
      </c>
      <c r="E35" s="15">
        <v>89</v>
      </c>
      <c r="F35" s="13">
        <f>89+7.6+7.6</f>
        <v>104.19999999999999</v>
      </c>
      <c r="G35" s="13">
        <f t="shared" si="0"/>
        <v>327.34429999999998</v>
      </c>
      <c r="H35" s="13">
        <f t="shared" si="1"/>
        <v>0.32734429999999998</v>
      </c>
      <c r="I35" s="13">
        <v>12</v>
      </c>
      <c r="J35" s="13">
        <f t="shared" si="2"/>
        <v>12000</v>
      </c>
      <c r="K35" s="25">
        <f t="shared" si="7"/>
        <v>1571.2526400000002</v>
      </c>
      <c r="L35" s="31">
        <v>130</v>
      </c>
      <c r="M35" s="54">
        <v>0.9</v>
      </c>
      <c r="N35" s="27" t="s">
        <v>27</v>
      </c>
      <c r="O35" s="51">
        <v>6.1</v>
      </c>
      <c r="P35" s="28"/>
      <c r="Q35" s="40"/>
      <c r="R35" s="36" t="s">
        <v>70</v>
      </c>
      <c r="S35" s="37">
        <f t="shared" si="3"/>
        <v>40</v>
      </c>
      <c r="T35" s="38">
        <f t="shared" si="4"/>
        <v>3.4204097324649865E-2</v>
      </c>
      <c r="U35" s="39">
        <f t="shared" si="6"/>
        <v>101.16185237909146</v>
      </c>
    </row>
    <row r="36" spans="1:21" ht="30" x14ac:dyDescent="0.25">
      <c r="A36" s="12">
        <v>35</v>
      </c>
      <c r="B36" s="13">
        <v>1978</v>
      </c>
      <c r="C36" s="13" t="s">
        <v>71</v>
      </c>
      <c r="D36" s="14">
        <v>44671</v>
      </c>
      <c r="E36" s="15">
        <v>219</v>
      </c>
      <c r="F36" s="13">
        <f>219+9.9+9.9</f>
        <v>238.8</v>
      </c>
      <c r="G36" s="13">
        <f t="shared" si="0"/>
        <v>750.19020000000012</v>
      </c>
      <c r="H36" s="13">
        <f t="shared" si="1"/>
        <v>0.75019020000000014</v>
      </c>
      <c r="I36" s="13">
        <v>9</v>
      </c>
      <c r="J36" s="13">
        <f t="shared" si="2"/>
        <v>9000</v>
      </c>
      <c r="K36" s="25">
        <f t="shared" si="7"/>
        <v>2700.6847200000007</v>
      </c>
      <c r="L36" s="31">
        <v>160</v>
      </c>
      <c r="M36" s="54">
        <v>0.5</v>
      </c>
      <c r="N36" s="27" t="s">
        <v>34</v>
      </c>
      <c r="O36" s="51">
        <v>9.9</v>
      </c>
      <c r="P36" s="28"/>
      <c r="Q36" s="40"/>
      <c r="R36" s="36" t="s">
        <v>72</v>
      </c>
      <c r="S36" s="37">
        <f t="shared" si="3"/>
        <v>44</v>
      </c>
      <c r="T36" s="38">
        <f t="shared" si="4"/>
        <v>4.3404456198486235E-2</v>
      </c>
      <c r="U36" s="39">
        <f t="shared" si="6"/>
        <v>67.240046764384815</v>
      </c>
    </row>
    <row r="37" spans="1:21" ht="30" x14ac:dyDescent="0.25">
      <c r="A37" s="12">
        <v>36</v>
      </c>
      <c r="B37" s="13">
        <v>1978</v>
      </c>
      <c r="C37" s="13" t="s">
        <v>71</v>
      </c>
      <c r="D37" s="14">
        <v>44669</v>
      </c>
      <c r="E37" s="15">
        <v>219</v>
      </c>
      <c r="F37" s="13">
        <f>219+8.5+8.5</f>
        <v>236</v>
      </c>
      <c r="G37" s="13">
        <f t="shared" si="0"/>
        <v>741.39400000000001</v>
      </c>
      <c r="H37" s="13">
        <f t="shared" si="1"/>
        <v>0.741394</v>
      </c>
      <c r="I37" s="13">
        <v>8</v>
      </c>
      <c r="J37" s="13">
        <f t="shared" si="2"/>
        <v>8000</v>
      </c>
      <c r="K37" s="25">
        <f t="shared" si="7"/>
        <v>2372.4608000000003</v>
      </c>
      <c r="L37" s="31">
        <v>141</v>
      </c>
      <c r="M37" s="54">
        <v>0.7</v>
      </c>
      <c r="N37" s="27" t="s">
        <v>34</v>
      </c>
      <c r="O37" s="51">
        <v>8.1</v>
      </c>
      <c r="P37" s="28"/>
      <c r="Q37" s="40"/>
      <c r="R37" s="36" t="s">
        <v>72</v>
      </c>
      <c r="S37" s="37">
        <f t="shared" si="3"/>
        <v>44</v>
      </c>
      <c r="T37" s="38">
        <f t="shared" si="4"/>
        <v>4.0459510467822132E-2</v>
      </c>
      <c r="U37" s="39">
        <f t="shared" si="6"/>
        <v>75.336929228105944</v>
      </c>
    </row>
    <row r="38" spans="1:21" ht="30" x14ac:dyDescent="0.25">
      <c r="A38" s="12">
        <v>37</v>
      </c>
      <c r="B38" s="13">
        <v>1961</v>
      </c>
      <c r="C38" s="13" t="s">
        <v>73</v>
      </c>
      <c r="D38" s="14">
        <v>44678</v>
      </c>
      <c r="E38" s="15">
        <v>108</v>
      </c>
      <c r="F38" s="13">
        <f>108+9.7+9.7</f>
        <v>127.4</v>
      </c>
      <c r="G38" s="13">
        <f t="shared" si="0"/>
        <v>400.22710000000006</v>
      </c>
      <c r="H38" s="13">
        <f t="shared" si="1"/>
        <v>0.40022710000000006</v>
      </c>
      <c r="I38" s="13">
        <v>93</v>
      </c>
      <c r="J38" s="13">
        <f t="shared" si="2"/>
        <v>93000</v>
      </c>
      <c r="K38" s="25">
        <f t="shared" si="7"/>
        <v>14888.448120000005</v>
      </c>
      <c r="L38" s="31">
        <v>115</v>
      </c>
      <c r="M38" s="54">
        <v>1.7</v>
      </c>
      <c r="N38" s="27" t="s">
        <v>27</v>
      </c>
      <c r="O38" s="51"/>
      <c r="P38" s="28"/>
      <c r="Q38" s="40"/>
      <c r="R38" s="36" t="s">
        <v>74</v>
      </c>
      <c r="S38" s="37">
        <f t="shared" si="3"/>
        <v>61</v>
      </c>
      <c r="T38" s="38">
        <f t="shared" si="4"/>
        <v>5.9293054920820439E-2</v>
      </c>
      <c r="U38" s="39">
        <f t="shared" si="6"/>
        <v>20.431353870196094</v>
      </c>
    </row>
    <row r="39" spans="1:21" ht="45" x14ac:dyDescent="0.25">
      <c r="A39" s="12">
        <v>38</v>
      </c>
      <c r="B39" s="13">
        <v>1978</v>
      </c>
      <c r="C39" s="13" t="s">
        <v>75</v>
      </c>
      <c r="D39" s="14">
        <v>44659</v>
      </c>
      <c r="E39" s="15">
        <v>219</v>
      </c>
      <c r="F39" s="13">
        <f>219+20</f>
        <v>239</v>
      </c>
      <c r="G39" s="13">
        <f t="shared" si="0"/>
        <v>750.81850000000009</v>
      </c>
      <c r="H39" s="13">
        <f t="shared" si="1"/>
        <v>0.75081850000000006</v>
      </c>
      <c r="I39" s="13">
        <v>7</v>
      </c>
      <c r="J39" s="13">
        <f t="shared" si="2"/>
        <v>7000</v>
      </c>
      <c r="K39" s="25">
        <f t="shared" si="7"/>
        <v>2102.2918</v>
      </c>
      <c r="L39" s="31">
        <v>117</v>
      </c>
      <c r="M39" s="54">
        <v>1</v>
      </c>
      <c r="N39" s="27" t="s">
        <v>27</v>
      </c>
      <c r="O39" s="51">
        <v>9.4</v>
      </c>
      <c r="P39" s="28"/>
      <c r="Q39" s="40"/>
      <c r="R39" s="36" t="s">
        <v>76</v>
      </c>
      <c r="S39" s="37">
        <f t="shared" si="3"/>
        <v>44</v>
      </c>
      <c r="T39" s="38">
        <f t="shared" si="4"/>
        <v>3.7711791246944355E-2</v>
      </c>
      <c r="U39" s="39">
        <f t="shared" si="6"/>
        <v>84.031938490684169</v>
      </c>
    </row>
    <row r="40" spans="1:21" ht="44.25" x14ac:dyDescent="0.25">
      <c r="A40" s="12">
        <v>39</v>
      </c>
      <c r="B40" s="13">
        <v>1978</v>
      </c>
      <c r="C40" s="13" t="s">
        <v>75</v>
      </c>
      <c r="D40" s="14">
        <v>44659</v>
      </c>
      <c r="E40" s="15">
        <v>219</v>
      </c>
      <c r="F40" s="13">
        <f>219+9.4+9.4</f>
        <v>237.8</v>
      </c>
      <c r="G40" s="13">
        <f t="shared" si="0"/>
        <v>747.04870000000005</v>
      </c>
      <c r="H40" s="13">
        <f t="shared" si="1"/>
        <v>0.74704870000000001</v>
      </c>
      <c r="I40" s="13">
        <v>8</v>
      </c>
      <c r="J40" s="13">
        <f t="shared" si="2"/>
        <v>8000</v>
      </c>
      <c r="K40" s="25">
        <f t="shared" si="7"/>
        <v>2390.55584</v>
      </c>
      <c r="L40" s="31">
        <v>110</v>
      </c>
      <c r="M40" s="54">
        <v>1</v>
      </c>
      <c r="N40" s="27" t="s">
        <v>27</v>
      </c>
      <c r="O40" s="51">
        <v>8.1</v>
      </c>
      <c r="P40" s="28"/>
      <c r="Q40" s="40"/>
      <c r="R40" s="41" t="s">
        <v>77</v>
      </c>
      <c r="S40" s="37">
        <f t="shared" si="3"/>
        <v>44</v>
      </c>
      <c r="T40" s="38">
        <f t="shared" si="4"/>
        <v>4.0632196359437392E-2</v>
      </c>
      <c r="U40" s="39">
        <f t="shared" si="6"/>
        <v>74.829750048223971</v>
      </c>
    </row>
    <row r="41" spans="1:21" x14ac:dyDescent="0.25">
      <c r="A41" s="12">
        <v>40</v>
      </c>
      <c r="B41" s="13">
        <v>1978</v>
      </c>
      <c r="C41" s="13" t="s">
        <v>75</v>
      </c>
      <c r="D41" s="14">
        <v>44676</v>
      </c>
      <c r="E41" s="15">
        <v>219</v>
      </c>
      <c r="F41" s="13">
        <f>219+7.7+7.7</f>
        <v>234.39999999999998</v>
      </c>
      <c r="G41" s="13">
        <f t="shared" si="0"/>
        <v>736.36759999999992</v>
      </c>
      <c r="H41" s="13">
        <f t="shared" si="1"/>
        <v>0.7363675999999999</v>
      </c>
      <c r="I41" s="13">
        <v>11</v>
      </c>
      <c r="J41" s="13">
        <f t="shared" si="2"/>
        <v>11000</v>
      </c>
      <c r="K41" s="25">
        <f t="shared" si="7"/>
        <v>3240.0174399999996</v>
      </c>
      <c r="L41" s="31">
        <v>120</v>
      </c>
      <c r="M41" s="54"/>
      <c r="N41" s="27"/>
      <c r="O41" s="51"/>
      <c r="P41" s="28"/>
      <c r="Q41" s="40"/>
      <c r="R41" s="36"/>
      <c r="S41" s="37">
        <f t="shared" si="3"/>
        <v>44</v>
      </c>
      <c r="T41" s="38">
        <f t="shared" si="4"/>
        <v>4.7542487372271715E-2</v>
      </c>
      <c r="U41" s="39">
        <f t="shared" si="6"/>
        <v>57.557869690224209</v>
      </c>
    </row>
    <row r="42" spans="1:21" ht="30" x14ac:dyDescent="0.25">
      <c r="A42" s="12">
        <v>41</v>
      </c>
      <c r="B42" s="13">
        <v>1967</v>
      </c>
      <c r="C42" s="20" t="s">
        <v>78</v>
      </c>
      <c r="D42" s="14">
        <v>44679</v>
      </c>
      <c r="E42" s="15">
        <v>57</v>
      </c>
      <c r="F42" s="13">
        <f>57+7.3+7.3</f>
        <v>71.599999999999994</v>
      </c>
      <c r="G42" s="13">
        <f t="shared" si="0"/>
        <v>224.9314</v>
      </c>
      <c r="H42" s="13">
        <f t="shared" si="1"/>
        <v>0.2249314</v>
      </c>
      <c r="I42" s="13">
        <v>14</v>
      </c>
      <c r="J42" s="13">
        <f t="shared" si="2"/>
        <v>14000</v>
      </c>
      <c r="K42" s="25">
        <f t="shared" si="7"/>
        <v>1259.6158400000002</v>
      </c>
      <c r="L42" s="31">
        <v>149</v>
      </c>
      <c r="M42" s="54">
        <v>0.8</v>
      </c>
      <c r="N42" s="27" t="s">
        <v>27</v>
      </c>
      <c r="O42" s="51">
        <v>4.3</v>
      </c>
      <c r="P42" s="28"/>
      <c r="Q42" s="40"/>
      <c r="R42" s="36" t="s">
        <v>79</v>
      </c>
      <c r="S42" s="37">
        <f t="shared" si="3"/>
        <v>55</v>
      </c>
      <c r="T42" s="38">
        <f t="shared" si="4"/>
        <v>2.0856318499283388E-2</v>
      </c>
      <c r="U42" s="39">
        <f t="shared" si="6"/>
        <v>176.50364420586499</v>
      </c>
    </row>
    <row r="43" spans="1:21" x14ac:dyDescent="0.25">
      <c r="A43" s="12">
        <v>42</v>
      </c>
      <c r="B43" s="13">
        <v>1970</v>
      </c>
      <c r="C43" s="13" t="s">
        <v>80</v>
      </c>
      <c r="D43" s="14">
        <v>44679</v>
      </c>
      <c r="E43" s="15">
        <v>89</v>
      </c>
      <c r="F43" s="13">
        <f>89+7.5+7.5</f>
        <v>104</v>
      </c>
      <c r="G43" s="13">
        <f t="shared" si="0"/>
        <v>326.71600000000001</v>
      </c>
      <c r="H43" s="13">
        <f t="shared" si="1"/>
        <v>0.32671600000000001</v>
      </c>
      <c r="I43" s="13">
        <v>12</v>
      </c>
      <c r="J43" s="13">
        <f t="shared" si="2"/>
        <v>12000</v>
      </c>
      <c r="K43" s="25">
        <f t="shared" si="7"/>
        <v>1568.2368000000001</v>
      </c>
      <c r="L43" s="31">
        <v>106</v>
      </c>
      <c r="M43" s="54">
        <v>1.5</v>
      </c>
      <c r="N43" s="27" t="s">
        <v>27</v>
      </c>
      <c r="O43" s="51">
        <v>4.7</v>
      </c>
      <c r="P43" s="28"/>
      <c r="Q43" s="40"/>
      <c r="R43" s="36" t="s">
        <v>81</v>
      </c>
      <c r="S43" s="37">
        <f t="shared" si="3"/>
        <v>52</v>
      </c>
      <c r="T43" s="38">
        <f t="shared" si="4"/>
        <v>2.6273897361694248E-2</v>
      </c>
      <c r="U43" s="39">
        <f t="shared" si="6"/>
        <v>131.76846308084046</v>
      </c>
    </row>
    <row r="44" spans="1:21" ht="30" x14ac:dyDescent="0.25">
      <c r="A44" s="12">
        <v>43</v>
      </c>
      <c r="B44" s="13">
        <v>1976</v>
      </c>
      <c r="C44" s="13" t="s">
        <v>82</v>
      </c>
      <c r="D44" s="14">
        <v>44676</v>
      </c>
      <c r="E44" s="15">
        <v>89</v>
      </c>
      <c r="F44" s="13">
        <f>89+10.2</f>
        <v>99.2</v>
      </c>
      <c r="G44" s="13">
        <f t="shared" si="0"/>
        <v>311.63680000000005</v>
      </c>
      <c r="H44" s="13">
        <f t="shared" si="1"/>
        <v>0.31163680000000005</v>
      </c>
      <c r="I44" s="13">
        <v>8</v>
      </c>
      <c r="J44" s="13">
        <f t="shared" si="2"/>
        <v>8000</v>
      </c>
      <c r="K44" s="25">
        <f t="shared" si="7"/>
        <v>997.23776000000021</v>
      </c>
      <c r="L44" s="31">
        <v>132</v>
      </c>
      <c r="M44" s="54">
        <v>2</v>
      </c>
      <c r="N44" s="27" t="s">
        <v>27</v>
      </c>
      <c r="O44" s="51">
        <v>4.5</v>
      </c>
      <c r="P44" s="28"/>
      <c r="Q44" s="40"/>
      <c r="R44" s="36" t="s">
        <v>83</v>
      </c>
      <c r="S44" s="37">
        <f t="shared" si="3"/>
        <v>46</v>
      </c>
      <c r="T44" s="38">
        <f t="shared" si="4"/>
        <v>1.9859231953247628E-2</v>
      </c>
      <c r="U44" s="39">
        <f t="shared" si="6"/>
        <v>197.1269118901003</v>
      </c>
    </row>
    <row r="45" spans="1:21" ht="30" x14ac:dyDescent="0.25">
      <c r="A45" s="12">
        <v>44</v>
      </c>
      <c r="B45" s="13">
        <v>1978</v>
      </c>
      <c r="C45" s="13" t="s">
        <v>84</v>
      </c>
      <c r="D45" s="14">
        <v>44670</v>
      </c>
      <c r="E45" s="15">
        <v>219</v>
      </c>
      <c r="F45" s="13">
        <v>239</v>
      </c>
      <c r="G45" s="13">
        <f t="shared" si="0"/>
        <v>750.81850000000009</v>
      </c>
      <c r="H45" s="13">
        <f t="shared" si="1"/>
        <v>0.75081850000000006</v>
      </c>
      <c r="I45" s="13">
        <v>8</v>
      </c>
      <c r="J45" s="13">
        <f t="shared" si="2"/>
        <v>8000</v>
      </c>
      <c r="K45" s="25">
        <f t="shared" si="7"/>
        <v>2402.6192000000001</v>
      </c>
      <c r="L45" s="31">
        <v>136</v>
      </c>
      <c r="M45" s="54">
        <v>0.5</v>
      </c>
      <c r="N45" s="27" t="s">
        <v>27</v>
      </c>
      <c r="O45" s="51">
        <v>9.4</v>
      </c>
      <c r="P45" s="28"/>
      <c r="Q45" s="40"/>
      <c r="R45" s="36" t="s">
        <v>85</v>
      </c>
      <c r="S45" s="37">
        <f t="shared" si="3"/>
        <v>44</v>
      </c>
      <c r="T45" s="38">
        <f t="shared" si="4"/>
        <v>4.0746595624774416E-2</v>
      </c>
      <c r="U45" s="39">
        <f t="shared" si="6"/>
        <v>74.496126198249286</v>
      </c>
    </row>
    <row r="46" spans="1:21" ht="30" x14ac:dyDescent="0.25">
      <c r="A46" s="12">
        <v>45</v>
      </c>
      <c r="B46" s="13">
        <v>1978</v>
      </c>
      <c r="C46" s="13" t="s">
        <v>84</v>
      </c>
      <c r="D46" s="14">
        <v>44671</v>
      </c>
      <c r="E46" s="15">
        <v>219</v>
      </c>
      <c r="F46" s="13">
        <f>219+9.2+9.2</f>
        <v>237.39999999999998</v>
      </c>
      <c r="G46" s="13">
        <f t="shared" si="0"/>
        <v>745.7921</v>
      </c>
      <c r="H46" s="13">
        <f t="shared" si="1"/>
        <v>0.74579209999999996</v>
      </c>
      <c r="I46" s="13">
        <v>11</v>
      </c>
      <c r="J46" s="13">
        <f t="shared" si="2"/>
        <v>11000</v>
      </c>
      <c r="K46" s="25">
        <f t="shared" si="7"/>
        <v>3281.4852399999995</v>
      </c>
      <c r="L46" s="31">
        <v>144</v>
      </c>
      <c r="M46" s="54">
        <v>1.3</v>
      </c>
      <c r="N46" s="27" t="s">
        <v>34</v>
      </c>
      <c r="O46" s="51">
        <v>7.5</v>
      </c>
      <c r="P46" s="28"/>
      <c r="Q46" s="40"/>
      <c r="R46" s="36" t="s">
        <v>85</v>
      </c>
      <c r="S46" s="37">
        <f t="shared" si="3"/>
        <v>44</v>
      </c>
      <c r="T46" s="38">
        <f t="shared" si="4"/>
        <v>4.7831519746651494E-2</v>
      </c>
      <c r="U46" s="39">
        <f t="shared" si="6"/>
        <v>56.944184146277586</v>
      </c>
    </row>
    <row r="47" spans="1:21" ht="30" x14ac:dyDescent="0.25">
      <c r="A47" s="12">
        <v>46</v>
      </c>
      <c r="B47" s="13">
        <v>1978</v>
      </c>
      <c r="C47" s="13" t="s">
        <v>84</v>
      </c>
      <c r="D47" s="14">
        <v>44669</v>
      </c>
      <c r="E47" s="15">
        <v>57</v>
      </c>
      <c r="F47" s="13">
        <f>57+8</f>
        <v>65</v>
      </c>
      <c r="G47" s="13">
        <f t="shared" si="0"/>
        <v>204.19750000000002</v>
      </c>
      <c r="H47" s="13">
        <f t="shared" si="1"/>
        <v>0.20419750000000003</v>
      </c>
      <c r="I47" s="13">
        <v>16</v>
      </c>
      <c r="J47" s="13">
        <f t="shared" si="2"/>
        <v>16000</v>
      </c>
      <c r="K47" s="25">
        <f t="shared" si="7"/>
        <v>1306.8640000000003</v>
      </c>
      <c r="L47" s="31">
        <v>131</v>
      </c>
      <c r="M47" s="54">
        <v>0.6</v>
      </c>
      <c r="N47" s="27" t="s">
        <v>34</v>
      </c>
      <c r="O47" s="51">
        <v>3.1</v>
      </c>
      <c r="P47" s="28"/>
      <c r="Q47" s="40"/>
      <c r="R47" s="36" t="s">
        <v>85</v>
      </c>
      <c r="S47" s="37">
        <f t="shared" si="3"/>
        <v>44</v>
      </c>
      <c r="T47" s="38">
        <f t="shared" si="4"/>
        <v>2.6907297863957867E-2</v>
      </c>
      <c r="U47" s="39">
        <f t="shared" si="6"/>
        <v>135.44253494773227</v>
      </c>
    </row>
    <row r="48" spans="1:21" ht="30" x14ac:dyDescent="0.25">
      <c r="A48" s="12">
        <v>47</v>
      </c>
      <c r="B48" s="13">
        <v>1964</v>
      </c>
      <c r="C48" s="13" t="s">
        <v>86</v>
      </c>
      <c r="D48" s="14">
        <v>44727</v>
      </c>
      <c r="E48" s="15">
        <v>89</v>
      </c>
      <c r="F48" s="13">
        <f>89+9.9+9.9</f>
        <v>108.80000000000001</v>
      </c>
      <c r="G48" s="13">
        <f t="shared" si="0"/>
        <v>341.79520000000008</v>
      </c>
      <c r="H48" s="13">
        <f t="shared" si="1"/>
        <v>0.34179520000000008</v>
      </c>
      <c r="I48" s="13">
        <v>10</v>
      </c>
      <c r="J48" s="13">
        <f t="shared" si="2"/>
        <v>10000</v>
      </c>
      <c r="K48" s="25">
        <f t="shared" si="7"/>
        <v>1367.1808000000005</v>
      </c>
      <c r="L48" s="31">
        <v>128</v>
      </c>
      <c r="M48" s="54">
        <v>1.1000000000000001</v>
      </c>
      <c r="N48" s="27" t="s">
        <v>34</v>
      </c>
      <c r="O48" s="51">
        <v>8.4</v>
      </c>
      <c r="P48" s="28"/>
      <c r="Q48" s="40"/>
      <c r="R48" s="36" t="s">
        <v>87</v>
      </c>
      <c r="S48" s="37">
        <f t="shared" si="3"/>
        <v>58</v>
      </c>
      <c r="T48" s="38">
        <f t="shared" si="4"/>
        <v>2.1190371401631311E-2</v>
      </c>
      <c r="U48" s="39">
        <f t="shared" si="6"/>
        <v>169.85413458730602</v>
      </c>
    </row>
    <row r="49" spans="1:21" ht="30" x14ac:dyDescent="0.25">
      <c r="A49" s="12">
        <v>48</v>
      </c>
      <c r="B49" s="13">
        <v>1964</v>
      </c>
      <c r="C49" s="13" t="s">
        <v>86</v>
      </c>
      <c r="D49" s="14">
        <v>44736</v>
      </c>
      <c r="E49" s="15">
        <v>57</v>
      </c>
      <c r="F49" s="13">
        <f>57+9.2+9.2</f>
        <v>75.400000000000006</v>
      </c>
      <c r="G49" s="13">
        <f t="shared" si="0"/>
        <v>236.86910000000003</v>
      </c>
      <c r="H49" s="13">
        <f t="shared" si="1"/>
        <v>0.23686910000000003</v>
      </c>
      <c r="I49" s="13">
        <v>10</v>
      </c>
      <c r="J49" s="13">
        <f t="shared" si="2"/>
        <v>10000</v>
      </c>
      <c r="K49" s="25">
        <f t="shared" si="7"/>
        <v>947.47640000000024</v>
      </c>
      <c r="L49" s="31">
        <v>133</v>
      </c>
      <c r="M49" s="54">
        <v>1.2</v>
      </c>
      <c r="N49" s="27" t="s">
        <v>34</v>
      </c>
      <c r="O49" s="51">
        <v>6.9</v>
      </c>
      <c r="P49" s="28"/>
      <c r="Q49" s="40"/>
      <c r="R49" s="36" t="s">
        <v>87</v>
      </c>
      <c r="S49" s="37">
        <f t="shared" si="3"/>
        <v>58</v>
      </c>
      <c r="T49" s="38">
        <f t="shared" si="4"/>
        <v>1.4867887618735929E-2</v>
      </c>
      <c r="U49" s="39">
        <f t="shared" si="6"/>
        <v>266.74779613062515</v>
      </c>
    </row>
    <row r="50" spans="1:21" ht="30" x14ac:dyDescent="0.25">
      <c r="A50" s="12">
        <v>49</v>
      </c>
      <c r="B50" s="13">
        <v>1964</v>
      </c>
      <c r="C50" s="13" t="s">
        <v>86</v>
      </c>
      <c r="D50" s="14">
        <v>44727</v>
      </c>
      <c r="E50" s="15">
        <v>89</v>
      </c>
      <c r="F50" s="13">
        <f>89+9+9</f>
        <v>107</v>
      </c>
      <c r="G50" s="13">
        <f t="shared" si="0"/>
        <v>336.14050000000003</v>
      </c>
      <c r="H50" s="13">
        <f t="shared" si="1"/>
        <v>0.33614050000000001</v>
      </c>
      <c r="I50" s="13">
        <v>12</v>
      </c>
      <c r="J50" s="13">
        <f t="shared" si="2"/>
        <v>12000</v>
      </c>
      <c r="K50" s="25">
        <f t="shared" si="7"/>
        <v>1613.4744000000001</v>
      </c>
      <c r="L50" s="31">
        <v>151</v>
      </c>
      <c r="M50" s="54">
        <v>1.1000000000000001</v>
      </c>
      <c r="N50" s="27" t="s">
        <v>34</v>
      </c>
      <c r="O50" s="51">
        <v>6.9</v>
      </c>
      <c r="P50" s="28"/>
      <c r="Q50" s="40"/>
      <c r="R50" s="36" t="s">
        <v>87</v>
      </c>
      <c r="S50" s="37">
        <f t="shared" si="3"/>
        <v>58</v>
      </c>
      <c r="T50" s="38">
        <f t="shared" si="4"/>
        <v>2.404621720911438E-2</v>
      </c>
      <c r="U50" s="39">
        <f t="shared" si="6"/>
        <v>142.79306841960144</v>
      </c>
    </row>
    <row r="51" spans="1:21" ht="30" x14ac:dyDescent="0.25">
      <c r="A51" s="12">
        <v>50</v>
      </c>
      <c r="B51" s="13">
        <v>1968</v>
      </c>
      <c r="C51" s="13" t="s">
        <v>88</v>
      </c>
      <c r="D51" s="14">
        <v>44736</v>
      </c>
      <c r="E51" s="15">
        <v>159</v>
      </c>
      <c r="F51" s="13">
        <f>159+9.8+9.8</f>
        <v>178.60000000000002</v>
      </c>
      <c r="G51" s="13">
        <f t="shared" si="0"/>
        <v>561.07190000000014</v>
      </c>
      <c r="H51" s="13">
        <f t="shared" si="1"/>
        <v>0.56107190000000018</v>
      </c>
      <c r="I51" s="13">
        <v>11</v>
      </c>
      <c r="J51" s="13">
        <f t="shared" si="2"/>
        <v>11000</v>
      </c>
      <c r="K51" s="25">
        <f t="shared" si="7"/>
        <v>2468.7163600000008</v>
      </c>
      <c r="L51" s="31">
        <v>130</v>
      </c>
      <c r="M51" s="54">
        <v>1.3</v>
      </c>
      <c r="N51" s="27" t="s">
        <v>27</v>
      </c>
      <c r="O51" s="51">
        <v>8.3000000000000007</v>
      </c>
      <c r="P51" s="28"/>
      <c r="Q51" s="40"/>
      <c r="R51" s="36" t="s">
        <v>89</v>
      </c>
      <c r="S51" s="37">
        <f t="shared" si="3"/>
        <v>54</v>
      </c>
      <c r="T51" s="38">
        <f t="shared" si="4"/>
        <v>3.3703501020731427E-2</v>
      </c>
      <c r="U51" s="39">
        <f t="shared" si="6"/>
        <v>89.258521847102699</v>
      </c>
    </row>
    <row r="52" spans="1:21" ht="30" x14ac:dyDescent="0.25">
      <c r="A52" s="12">
        <v>51</v>
      </c>
      <c r="B52" s="13">
        <v>1968</v>
      </c>
      <c r="C52" s="13" t="s">
        <v>88</v>
      </c>
      <c r="D52" s="14">
        <v>44736</v>
      </c>
      <c r="E52" s="15">
        <v>159</v>
      </c>
      <c r="F52" s="13">
        <f>159+9.5+9.5</f>
        <v>178</v>
      </c>
      <c r="G52" s="13">
        <f t="shared" si="0"/>
        <v>559.18700000000001</v>
      </c>
      <c r="H52" s="13">
        <f t="shared" si="1"/>
        <v>0.55918699999999999</v>
      </c>
      <c r="I52" s="13">
        <v>12</v>
      </c>
      <c r="J52" s="13">
        <f t="shared" si="2"/>
        <v>12000</v>
      </c>
      <c r="K52" s="25">
        <f t="shared" si="7"/>
        <v>2684.0976000000001</v>
      </c>
      <c r="L52" s="31">
        <v>125</v>
      </c>
      <c r="M52" s="54">
        <v>1.4</v>
      </c>
      <c r="N52" s="27" t="s">
        <v>27</v>
      </c>
      <c r="O52" s="51">
        <v>9</v>
      </c>
      <c r="P52" s="28"/>
      <c r="Q52" s="40"/>
      <c r="R52" s="36" t="s">
        <v>89</v>
      </c>
      <c r="S52" s="37">
        <f t="shared" si="3"/>
        <v>54</v>
      </c>
      <c r="T52" s="38">
        <f t="shared" si="4"/>
        <v>3.5252505814052093E-2</v>
      </c>
      <c r="U52" s="39">
        <f t="shared" si="6"/>
        <v>82.963703027819207</v>
      </c>
    </row>
    <row r="53" spans="1:21" ht="30" x14ac:dyDescent="0.25">
      <c r="A53" s="12">
        <v>52</v>
      </c>
      <c r="B53" s="13">
        <v>1965</v>
      </c>
      <c r="C53" s="13" t="s">
        <v>90</v>
      </c>
      <c r="D53" s="14">
        <v>44732</v>
      </c>
      <c r="E53" s="15">
        <v>89</v>
      </c>
      <c r="F53" s="13">
        <f>89+9.2+9.2</f>
        <v>107.4</v>
      </c>
      <c r="G53" s="13">
        <f t="shared" si="0"/>
        <v>337.39710000000002</v>
      </c>
      <c r="H53" s="13">
        <f t="shared" si="1"/>
        <v>0.33739710000000001</v>
      </c>
      <c r="I53" s="13">
        <v>11</v>
      </c>
      <c r="J53" s="13">
        <f t="shared" si="2"/>
        <v>11000</v>
      </c>
      <c r="K53" s="25">
        <v>1355</v>
      </c>
      <c r="L53" s="31">
        <v>140</v>
      </c>
      <c r="M53" s="54">
        <v>1.4</v>
      </c>
      <c r="N53" s="27" t="s">
        <v>27</v>
      </c>
      <c r="O53" s="51">
        <v>7.1</v>
      </c>
      <c r="P53" s="28"/>
      <c r="Q53" s="40"/>
      <c r="R53" s="36" t="s">
        <v>91</v>
      </c>
      <c r="S53" s="37">
        <f t="shared" si="3"/>
        <v>57</v>
      </c>
      <c r="T53" s="38">
        <f t="shared" si="4"/>
        <v>2.1405126073786303E-2</v>
      </c>
      <c r="U53" s="39">
        <f t="shared" si="6"/>
        <v>168.56810553969476</v>
      </c>
    </row>
    <row r="54" spans="1:21" ht="30" x14ac:dyDescent="0.25">
      <c r="A54" s="12">
        <v>53</v>
      </c>
      <c r="B54" s="13">
        <v>1965</v>
      </c>
      <c r="C54" s="13" t="s">
        <v>90</v>
      </c>
      <c r="D54" s="14">
        <v>44732</v>
      </c>
      <c r="E54" s="15">
        <v>89</v>
      </c>
      <c r="F54" s="13">
        <f>89+9.2+9.2</f>
        <v>107.4</v>
      </c>
      <c r="G54" s="13">
        <f t="shared" si="0"/>
        <v>337.39710000000002</v>
      </c>
      <c r="H54" s="13">
        <f t="shared" si="1"/>
        <v>0.33739710000000001</v>
      </c>
      <c r="I54" s="13">
        <v>12</v>
      </c>
      <c r="J54" s="13">
        <f t="shared" si="2"/>
        <v>12000</v>
      </c>
      <c r="K54" s="25">
        <v>1478</v>
      </c>
      <c r="L54" s="31">
        <v>136</v>
      </c>
      <c r="M54" s="54">
        <v>1.8</v>
      </c>
      <c r="N54" s="27" t="s">
        <v>27</v>
      </c>
      <c r="O54" s="51">
        <v>6.5</v>
      </c>
      <c r="P54" s="28"/>
      <c r="Q54" s="40"/>
      <c r="R54" s="36" t="s">
        <v>92</v>
      </c>
      <c r="S54" s="37">
        <f t="shared" si="3"/>
        <v>57</v>
      </c>
      <c r="T54" s="38">
        <f t="shared" si="4"/>
        <v>2.2929483410529212E-2</v>
      </c>
      <c r="U54" s="39">
        <f t="shared" si="6"/>
        <v>153.57228594540169</v>
      </c>
    </row>
    <row r="55" spans="1:21" ht="30" x14ac:dyDescent="0.25">
      <c r="A55" s="12">
        <v>54</v>
      </c>
      <c r="B55" s="13">
        <v>1974</v>
      </c>
      <c r="C55" s="13" t="s">
        <v>93</v>
      </c>
      <c r="D55" s="14">
        <v>44734</v>
      </c>
      <c r="E55" s="15">
        <v>108</v>
      </c>
      <c r="F55" s="13">
        <f>108+108+10.8</f>
        <v>226.8</v>
      </c>
      <c r="G55" s="13">
        <f t="shared" si="0"/>
        <v>712.49220000000003</v>
      </c>
      <c r="H55" s="13">
        <f t="shared" si="1"/>
        <v>0.71249220000000002</v>
      </c>
      <c r="I55" s="13">
        <v>8</v>
      </c>
      <c r="J55" s="13">
        <f t="shared" si="2"/>
        <v>8000</v>
      </c>
      <c r="K55" s="25">
        <v>2525</v>
      </c>
      <c r="L55" s="31">
        <v>151</v>
      </c>
      <c r="M55" s="54">
        <v>1.1000000000000001</v>
      </c>
      <c r="N55" s="27" t="s">
        <v>34</v>
      </c>
      <c r="O55" s="51">
        <v>6.9</v>
      </c>
      <c r="P55" s="28"/>
      <c r="Q55" s="40"/>
      <c r="R55" s="36" t="s">
        <v>94</v>
      </c>
      <c r="S55" s="37">
        <f t="shared" si="3"/>
        <v>48</v>
      </c>
      <c r="T55" s="38">
        <f t="shared" si="4"/>
        <v>3.8386079054197463E-2</v>
      </c>
      <c r="U55" s="39">
        <f t="shared" si="6"/>
        <v>77.782936321398836</v>
      </c>
    </row>
    <row r="56" spans="1:21" ht="30" x14ac:dyDescent="0.25">
      <c r="A56" s="12">
        <v>55</v>
      </c>
      <c r="B56" s="13">
        <v>1969</v>
      </c>
      <c r="C56" s="13" t="s">
        <v>95</v>
      </c>
      <c r="D56" s="14">
        <v>44734</v>
      </c>
      <c r="E56" s="15">
        <v>108</v>
      </c>
      <c r="F56" s="13">
        <f>108+11.3+11.3</f>
        <v>130.6</v>
      </c>
      <c r="G56" s="13">
        <f t="shared" si="0"/>
        <v>410.2799</v>
      </c>
      <c r="H56" s="13">
        <f t="shared" si="1"/>
        <v>0.41027989999999998</v>
      </c>
      <c r="I56" s="13">
        <v>14</v>
      </c>
      <c r="J56" s="13">
        <f t="shared" si="2"/>
        <v>14000</v>
      </c>
      <c r="K56" s="25">
        <v>2244</v>
      </c>
      <c r="L56" s="31">
        <v>153</v>
      </c>
      <c r="M56" s="54">
        <v>0.8</v>
      </c>
      <c r="N56" s="27" t="s">
        <v>27</v>
      </c>
      <c r="O56" s="51">
        <v>7.2</v>
      </c>
      <c r="P56" s="28"/>
      <c r="Q56" s="40"/>
      <c r="R56" s="36" t="s">
        <v>96</v>
      </c>
      <c r="S56" s="37">
        <f t="shared" si="3"/>
        <v>53</v>
      </c>
      <c r="T56" s="38">
        <f t="shared" si="4"/>
        <v>3.2538692821407644E-2</v>
      </c>
      <c r="U56" s="39">
        <f t="shared" si="6"/>
        <v>95.386837904124064</v>
      </c>
    </row>
    <row r="57" spans="1:21" ht="60" x14ac:dyDescent="0.25">
      <c r="A57" s="12">
        <v>56</v>
      </c>
      <c r="B57" s="13">
        <v>1958</v>
      </c>
      <c r="C57" s="13" t="s">
        <v>97</v>
      </c>
      <c r="D57" s="14">
        <v>44719</v>
      </c>
      <c r="E57" s="15">
        <v>520</v>
      </c>
      <c r="F57" s="13">
        <f>520+9.1+9.1</f>
        <v>538.20000000000005</v>
      </c>
      <c r="G57" s="13">
        <f t="shared" si="0"/>
        <v>1690.7553000000003</v>
      </c>
      <c r="H57" s="13">
        <f t="shared" si="1"/>
        <v>1.6907553000000002</v>
      </c>
      <c r="I57" s="13">
        <v>10</v>
      </c>
      <c r="J57" s="13">
        <f t="shared" si="2"/>
        <v>10000</v>
      </c>
      <c r="K57" s="25">
        <f t="shared" ref="K57:K105" si="8">0.4*H57*J57</f>
        <v>6763.021200000001</v>
      </c>
      <c r="L57" s="31">
        <v>144</v>
      </c>
      <c r="M57" s="54">
        <v>0.8</v>
      </c>
      <c r="N57" s="27" t="s">
        <v>34</v>
      </c>
      <c r="O57" s="51">
        <v>6.7</v>
      </c>
      <c r="P57" s="28"/>
      <c r="Q57" s="40"/>
      <c r="R57" s="36" t="s">
        <v>98</v>
      </c>
      <c r="S57" s="37">
        <f t="shared" si="3"/>
        <v>64</v>
      </c>
      <c r="T57" s="38">
        <f t="shared" si="4"/>
        <v>4.4183756955712174E-2</v>
      </c>
      <c r="U57" s="39">
        <f t="shared" si="6"/>
        <v>45.278025907620027</v>
      </c>
    </row>
    <row r="58" spans="1:21" ht="30" x14ac:dyDescent="0.25">
      <c r="A58" s="12">
        <v>57</v>
      </c>
      <c r="B58" s="13">
        <v>1963</v>
      </c>
      <c r="C58" s="13" t="s">
        <v>99</v>
      </c>
      <c r="D58" s="14">
        <v>44719</v>
      </c>
      <c r="E58" s="15">
        <v>108</v>
      </c>
      <c r="F58" s="13">
        <f>108+9.1+9.1</f>
        <v>126.19999999999999</v>
      </c>
      <c r="G58" s="13">
        <f t="shared" si="0"/>
        <v>396.45729999999998</v>
      </c>
      <c r="H58" s="13">
        <f t="shared" si="1"/>
        <v>0.39645729999999996</v>
      </c>
      <c r="I58" s="13">
        <v>13</v>
      </c>
      <c r="J58" s="13">
        <f t="shared" si="2"/>
        <v>13000</v>
      </c>
      <c r="K58" s="25">
        <f t="shared" si="8"/>
        <v>2061.5779600000001</v>
      </c>
      <c r="L58" s="31">
        <v>120</v>
      </c>
      <c r="M58" s="54">
        <v>1.2</v>
      </c>
      <c r="N58" s="27" t="s">
        <v>27</v>
      </c>
      <c r="O58" s="51"/>
      <c r="P58" s="28"/>
      <c r="Q58" s="40"/>
      <c r="R58" s="36" t="s">
        <v>100</v>
      </c>
      <c r="S58" s="37">
        <f t="shared" si="3"/>
        <v>59</v>
      </c>
      <c r="T58" s="38">
        <f t="shared" si="4"/>
        <v>2.7792583414362325E-2</v>
      </c>
      <c r="U58" s="39">
        <f t="shared" si="6"/>
        <v>114.72669770623705</v>
      </c>
    </row>
    <row r="59" spans="1:21" ht="30" x14ac:dyDescent="0.25">
      <c r="A59" s="12">
        <v>58</v>
      </c>
      <c r="B59" s="13">
        <v>1974</v>
      </c>
      <c r="C59" s="13" t="s">
        <v>101</v>
      </c>
      <c r="D59" s="14">
        <v>44713</v>
      </c>
      <c r="E59" s="15">
        <v>57</v>
      </c>
      <c r="F59" s="13">
        <f>57+18</f>
        <v>75</v>
      </c>
      <c r="G59" s="13">
        <f t="shared" si="0"/>
        <v>235.61250000000001</v>
      </c>
      <c r="H59" s="13">
        <f t="shared" si="1"/>
        <v>0.2356125</v>
      </c>
      <c r="I59" s="13">
        <v>10</v>
      </c>
      <c r="J59" s="13">
        <f t="shared" si="2"/>
        <v>10000</v>
      </c>
      <c r="K59" s="25">
        <f t="shared" si="8"/>
        <v>942.45</v>
      </c>
      <c r="L59" s="31">
        <v>134</v>
      </c>
      <c r="M59" s="54">
        <v>1.1499999999999999</v>
      </c>
      <c r="N59" s="27" t="s">
        <v>34</v>
      </c>
      <c r="O59" s="51">
        <v>6.5</v>
      </c>
      <c r="P59" s="28"/>
      <c r="Q59" s="40"/>
      <c r="R59" s="36" t="s">
        <v>102</v>
      </c>
      <c r="S59" s="37">
        <f t="shared" si="3"/>
        <v>48</v>
      </c>
      <c r="T59" s="38">
        <f t="shared" si="4"/>
        <v>1.7854548341855909E-2</v>
      </c>
      <c r="U59" s="39">
        <f t="shared" si="6"/>
        <v>222.42486008920329</v>
      </c>
    </row>
    <row r="60" spans="1:21" ht="30" x14ac:dyDescent="0.25">
      <c r="A60" s="12">
        <v>59</v>
      </c>
      <c r="B60" s="13">
        <v>1964</v>
      </c>
      <c r="C60" s="13" t="s">
        <v>86</v>
      </c>
      <c r="D60" s="14">
        <v>44693</v>
      </c>
      <c r="E60" s="15">
        <v>89</v>
      </c>
      <c r="F60" s="13">
        <f>89+9.6+9.6</f>
        <v>108.19999999999999</v>
      </c>
      <c r="G60" s="13">
        <f t="shared" si="0"/>
        <v>339.91030000000001</v>
      </c>
      <c r="H60" s="13">
        <f t="shared" si="1"/>
        <v>0.3399103</v>
      </c>
      <c r="I60" s="13">
        <v>9</v>
      </c>
      <c r="J60" s="13">
        <f t="shared" si="2"/>
        <v>9000</v>
      </c>
      <c r="K60" s="25">
        <f t="shared" si="8"/>
        <v>1223.6770799999999</v>
      </c>
      <c r="L60" s="31">
        <v>128</v>
      </c>
      <c r="M60" s="54">
        <v>1.5</v>
      </c>
      <c r="N60" s="27" t="s">
        <v>27</v>
      </c>
      <c r="O60" s="51">
        <v>8.9</v>
      </c>
      <c r="P60" s="28"/>
      <c r="Q60" s="40"/>
      <c r="R60" s="36" t="s">
        <v>103</v>
      </c>
      <c r="S60" s="37">
        <f t="shared" si="3"/>
        <v>58</v>
      </c>
      <c r="T60" s="38">
        <f t="shared" si="4"/>
        <v>1.9278466510815998E-2</v>
      </c>
      <c r="U60" s="39">
        <f t="shared" si="6"/>
        <v>192.45113077813645</v>
      </c>
    </row>
    <row r="61" spans="1:21" x14ac:dyDescent="0.25">
      <c r="A61" s="12">
        <v>60</v>
      </c>
      <c r="B61" s="13">
        <v>1967</v>
      </c>
      <c r="C61" s="13" t="s">
        <v>104</v>
      </c>
      <c r="D61" s="14">
        <v>44714</v>
      </c>
      <c r="E61" s="15">
        <v>89</v>
      </c>
      <c r="F61" s="13">
        <v>109</v>
      </c>
      <c r="G61" s="13">
        <f t="shared" si="0"/>
        <v>342.42350000000005</v>
      </c>
      <c r="H61" s="13">
        <f t="shared" si="1"/>
        <v>0.34242350000000005</v>
      </c>
      <c r="I61" s="13">
        <v>8</v>
      </c>
      <c r="J61" s="13">
        <f t="shared" si="2"/>
        <v>8000</v>
      </c>
      <c r="K61" s="25">
        <f t="shared" si="8"/>
        <v>1095.7552000000001</v>
      </c>
      <c r="L61" s="31">
        <v>141</v>
      </c>
      <c r="M61" s="54">
        <v>1.7</v>
      </c>
      <c r="N61" s="27" t="s">
        <v>22</v>
      </c>
      <c r="O61" s="51">
        <v>8.5</v>
      </c>
      <c r="P61" s="28"/>
      <c r="Q61" s="40"/>
      <c r="R61" s="36" t="s">
        <v>104</v>
      </c>
      <c r="S61" s="37">
        <f t="shared" si="3"/>
        <v>55</v>
      </c>
      <c r="T61" s="38">
        <f t="shared" si="4"/>
        <v>1.8322446141594676E-2</v>
      </c>
      <c r="U61" s="39">
        <f t="shared" si="6"/>
        <v>208.51905744404462</v>
      </c>
    </row>
    <row r="62" spans="1:21" ht="30" x14ac:dyDescent="0.25">
      <c r="A62" s="12">
        <v>61</v>
      </c>
      <c r="B62" s="13">
        <v>1963</v>
      </c>
      <c r="C62" s="13" t="s">
        <v>105</v>
      </c>
      <c r="D62" s="14">
        <v>44704</v>
      </c>
      <c r="E62" s="15">
        <v>89</v>
      </c>
      <c r="F62" s="13">
        <f>89+9.5+9.5</f>
        <v>108</v>
      </c>
      <c r="G62" s="13">
        <f t="shared" si="0"/>
        <v>339.28200000000004</v>
      </c>
      <c r="H62" s="13">
        <f t="shared" si="1"/>
        <v>0.33928200000000003</v>
      </c>
      <c r="I62" s="13">
        <v>9</v>
      </c>
      <c r="J62" s="13">
        <f t="shared" si="2"/>
        <v>9000</v>
      </c>
      <c r="K62" s="25">
        <f t="shared" si="8"/>
        <v>1221.4152000000001</v>
      </c>
      <c r="L62" s="31">
        <v>133</v>
      </c>
      <c r="M62" s="54">
        <v>0.5</v>
      </c>
      <c r="N62" s="27" t="s">
        <v>27</v>
      </c>
      <c r="O62" s="51"/>
      <c r="P62" s="28"/>
      <c r="Q62" s="40"/>
      <c r="R62" s="36" t="s">
        <v>106</v>
      </c>
      <c r="S62" s="37">
        <f t="shared" si="3"/>
        <v>59</v>
      </c>
      <c r="T62" s="38">
        <f t="shared" si="4"/>
        <v>1.8920354548121472E-2</v>
      </c>
      <c r="U62" s="39">
        <f t="shared" si="6"/>
        <v>196.19150420897824</v>
      </c>
    </row>
    <row r="63" spans="1:21" ht="30" x14ac:dyDescent="0.25">
      <c r="A63" s="12">
        <v>62</v>
      </c>
      <c r="B63" s="13">
        <v>1961</v>
      </c>
      <c r="C63" s="13" t="s">
        <v>107</v>
      </c>
      <c r="D63" s="14">
        <v>44686</v>
      </c>
      <c r="E63" s="15">
        <v>159</v>
      </c>
      <c r="F63" s="13">
        <f>159+14</f>
        <v>173</v>
      </c>
      <c r="G63" s="13">
        <f t="shared" si="0"/>
        <v>543.47950000000003</v>
      </c>
      <c r="H63" s="13">
        <f t="shared" si="1"/>
        <v>0.5434795</v>
      </c>
      <c r="I63" s="13">
        <v>9</v>
      </c>
      <c r="J63" s="13">
        <f t="shared" si="2"/>
        <v>9000</v>
      </c>
      <c r="K63" s="25">
        <f t="shared" si="8"/>
        <v>1956.5262000000002</v>
      </c>
      <c r="L63" s="31">
        <v>127</v>
      </c>
      <c r="M63" s="54">
        <v>1.8</v>
      </c>
      <c r="N63" s="27" t="s">
        <v>27</v>
      </c>
      <c r="O63" s="51">
        <v>6.6</v>
      </c>
      <c r="P63" s="28"/>
      <c r="Q63" s="40"/>
      <c r="R63" s="36" t="s">
        <v>108</v>
      </c>
      <c r="S63" s="37">
        <f t="shared" si="3"/>
        <v>61</v>
      </c>
      <c r="T63" s="38">
        <f t="shared" si="4"/>
        <v>2.6023955503487316E-2</v>
      </c>
      <c r="U63" s="39">
        <f t="shared" si="6"/>
        <v>124.53343040627655</v>
      </c>
    </row>
    <row r="64" spans="1:21" ht="30" x14ac:dyDescent="0.25">
      <c r="A64" s="12">
        <v>63</v>
      </c>
      <c r="B64" s="13">
        <v>1975</v>
      </c>
      <c r="C64" s="13" t="s">
        <v>109</v>
      </c>
      <c r="D64" s="14">
        <v>44695</v>
      </c>
      <c r="E64" s="15">
        <v>89</v>
      </c>
      <c r="F64" s="13">
        <f>89+9.6+9.6</f>
        <v>108.19999999999999</v>
      </c>
      <c r="G64" s="13">
        <f t="shared" si="0"/>
        <v>339.91030000000001</v>
      </c>
      <c r="H64" s="13">
        <f t="shared" si="1"/>
        <v>0.3399103</v>
      </c>
      <c r="I64" s="13">
        <v>11</v>
      </c>
      <c r="J64" s="13">
        <f t="shared" si="2"/>
        <v>11000</v>
      </c>
      <c r="K64" s="25">
        <f t="shared" si="8"/>
        <v>1495.6053199999999</v>
      </c>
      <c r="L64" s="31">
        <v>128</v>
      </c>
      <c r="M64" s="54">
        <v>1.1000000000000001</v>
      </c>
      <c r="N64" s="27" t="s">
        <v>110</v>
      </c>
      <c r="O64" s="51">
        <v>6.5</v>
      </c>
      <c r="P64" s="28"/>
      <c r="Q64" s="40"/>
      <c r="R64" s="36" t="s">
        <v>111</v>
      </c>
      <c r="S64" s="37">
        <f t="shared" si="3"/>
        <v>47</v>
      </c>
      <c r="T64" s="38">
        <f t="shared" si="4"/>
        <v>2.8060037299776155E-2</v>
      </c>
      <c r="U64" s="39">
        <f t="shared" si="6"/>
        <v>125.07082391657472</v>
      </c>
    </row>
    <row r="65" spans="1:21" ht="30" x14ac:dyDescent="0.25">
      <c r="A65" s="12">
        <v>64</v>
      </c>
      <c r="B65" s="13">
        <v>1983</v>
      </c>
      <c r="C65" s="13" t="s">
        <v>112</v>
      </c>
      <c r="D65" s="14">
        <v>44705</v>
      </c>
      <c r="E65" s="15">
        <v>114</v>
      </c>
      <c r="F65" s="13">
        <f>114+16</f>
        <v>130</v>
      </c>
      <c r="G65" s="13">
        <f t="shared" si="0"/>
        <v>408.39500000000004</v>
      </c>
      <c r="H65" s="13">
        <f t="shared" si="1"/>
        <v>0.40839500000000006</v>
      </c>
      <c r="I65" s="13">
        <v>7</v>
      </c>
      <c r="J65" s="13">
        <f t="shared" si="2"/>
        <v>7000</v>
      </c>
      <c r="K65" s="25">
        <f t="shared" si="8"/>
        <v>1143.5060000000003</v>
      </c>
      <c r="L65" s="31">
        <v>137</v>
      </c>
      <c r="M65" s="54">
        <v>1.2</v>
      </c>
      <c r="N65" s="27" t="s">
        <v>22</v>
      </c>
      <c r="O65" s="51">
        <v>5.5</v>
      </c>
      <c r="P65" s="28"/>
      <c r="Q65" s="40"/>
      <c r="R65" s="36" t="s">
        <v>113</v>
      </c>
      <c r="S65" s="37">
        <f t="shared" si="3"/>
        <v>39</v>
      </c>
      <c r="T65" s="38">
        <f t="shared" si="4"/>
        <v>2.6933069574092913E-2</v>
      </c>
      <c r="U65" s="39">
        <f t="shared" si="6"/>
        <v>140.27083001139559</v>
      </c>
    </row>
    <row r="66" spans="1:21" ht="30" x14ac:dyDescent="0.25">
      <c r="A66" s="12">
        <v>65</v>
      </c>
      <c r="B66" s="13">
        <v>1983</v>
      </c>
      <c r="C66" s="13" t="s">
        <v>112</v>
      </c>
      <c r="D66" s="14">
        <v>44704</v>
      </c>
      <c r="E66" s="15">
        <v>114</v>
      </c>
      <c r="F66" s="13">
        <f>114+22</f>
        <v>136</v>
      </c>
      <c r="G66" s="13">
        <f t="shared" ref="G66:G105" si="9">F66*3.1415</f>
        <v>427.24400000000003</v>
      </c>
      <c r="H66" s="13">
        <f t="shared" ref="H66:H105" si="10">G66/1000</f>
        <v>0.42724400000000001</v>
      </c>
      <c r="I66" s="13">
        <v>6</v>
      </c>
      <c r="J66" s="13">
        <f t="shared" ref="J66:J105" si="11">I66*1000</f>
        <v>6000</v>
      </c>
      <c r="K66" s="25">
        <f t="shared" si="8"/>
        <v>1025.3856000000001</v>
      </c>
      <c r="L66" s="31">
        <v>145</v>
      </c>
      <c r="M66" s="54">
        <v>0.8</v>
      </c>
      <c r="N66" s="27" t="s">
        <v>27</v>
      </c>
      <c r="O66" s="51">
        <v>8.1999999999999993</v>
      </c>
      <c r="P66" s="28"/>
      <c r="Q66" s="40"/>
      <c r="R66" s="36" t="s">
        <v>113</v>
      </c>
      <c r="S66" s="37">
        <f t="shared" si="3"/>
        <v>39</v>
      </c>
      <c r="T66" s="38">
        <f t="shared" si="4"/>
        <v>2.4137422278021403E-2</v>
      </c>
      <c r="U66" s="39">
        <f t="shared" si="6"/>
        <v>161.03435668019844</v>
      </c>
    </row>
    <row r="67" spans="1:21" ht="30" x14ac:dyDescent="0.25">
      <c r="A67" s="12">
        <v>66</v>
      </c>
      <c r="B67" s="13">
        <v>1961</v>
      </c>
      <c r="C67" s="13" t="s">
        <v>114</v>
      </c>
      <c r="D67" s="14">
        <v>44700</v>
      </c>
      <c r="E67" s="15">
        <v>89</v>
      </c>
      <c r="F67" s="13">
        <f>89+18</f>
        <v>107</v>
      </c>
      <c r="G67" s="13">
        <f t="shared" si="9"/>
        <v>336.14050000000003</v>
      </c>
      <c r="H67" s="13">
        <f t="shared" si="10"/>
        <v>0.33614050000000001</v>
      </c>
      <c r="I67" s="13">
        <v>45</v>
      </c>
      <c r="J67" s="13">
        <f t="shared" si="11"/>
        <v>45000</v>
      </c>
      <c r="K67" s="25">
        <f t="shared" si="8"/>
        <v>6050.5289999999995</v>
      </c>
      <c r="L67" s="31">
        <v>145</v>
      </c>
      <c r="M67" s="54">
        <v>1.3</v>
      </c>
      <c r="N67" s="27" t="s">
        <v>27</v>
      </c>
      <c r="O67" s="51">
        <v>9</v>
      </c>
      <c r="P67" s="28"/>
      <c r="Q67" s="40"/>
      <c r="R67" s="36" t="s">
        <v>115</v>
      </c>
      <c r="S67" s="37">
        <f t="shared" ref="S67:S105" si="12">2022-B67</f>
        <v>61</v>
      </c>
      <c r="T67" s="38">
        <f t="shared" ref="T67:T105" si="13">1/S67*LN(K67/400)</f>
        <v>4.4531744887064816E-2</v>
      </c>
      <c r="U67" s="39">
        <f t="shared" ref="U67:U105" si="14">1/T67*LN(5*10^4/K67)</f>
        <v>47.424085998588104</v>
      </c>
    </row>
    <row r="68" spans="1:21" x14ac:dyDescent="0.25">
      <c r="A68" s="12">
        <v>67</v>
      </c>
      <c r="B68" s="13">
        <v>1961</v>
      </c>
      <c r="C68" s="13" t="s">
        <v>114</v>
      </c>
      <c r="D68" s="14">
        <v>44700</v>
      </c>
      <c r="E68" s="15">
        <v>89</v>
      </c>
      <c r="F68" s="13">
        <f>89+9.6+9.6</f>
        <v>108.19999999999999</v>
      </c>
      <c r="G68" s="13">
        <f t="shared" si="9"/>
        <v>339.91030000000001</v>
      </c>
      <c r="H68" s="13">
        <f t="shared" si="10"/>
        <v>0.3399103</v>
      </c>
      <c r="I68" s="13">
        <v>62</v>
      </c>
      <c r="J68" s="13">
        <f t="shared" si="11"/>
        <v>62000</v>
      </c>
      <c r="K68" s="25">
        <f t="shared" si="8"/>
        <v>8429.7754399999994</v>
      </c>
      <c r="L68" s="31">
        <v>144</v>
      </c>
      <c r="M68" s="54"/>
      <c r="N68" s="27"/>
      <c r="O68" s="51"/>
      <c r="P68" s="28"/>
      <c r="Q68" s="40"/>
      <c r="R68" s="36"/>
      <c r="S68" s="37">
        <f t="shared" si="12"/>
        <v>61</v>
      </c>
      <c r="T68" s="38">
        <f t="shared" si="13"/>
        <v>4.9968210907150826E-2</v>
      </c>
      <c r="U68" s="39">
        <f t="shared" si="14"/>
        <v>35.627708890240328</v>
      </c>
    </row>
    <row r="69" spans="1:21" ht="30" x14ac:dyDescent="0.25">
      <c r="A69" s="12">
        <v>68</v>
      </c>
      <c r="B69" s="13">
        <v>1968</v>
      </c>
      <c r="C69" s="14" t="s">
        <v>116</v>
      </c>
      <c r="D69" s="14">
        <v>44685</v>
      </c>
      <c r="E69" s="15">
        <v>57</v>
      </c>
      <c r="F69" s="13">
        <f>57+18.2</f>
        <v>75.2</v>
      </c>
      <c r="G69" s="13">
        <f t="shared" si="9"/>
        <v>236.24080000000004</v>
      </c>
      <c r="H69" s="13">
        <f t="shared" si="10"/>
        <v>0.23624080000000003</v>
      </c>
      <c r="I69" s="13">
        <v>113</v>
      </c>
      <c r="J69" s="13">
        <f t="shared" si="11"/>
        <v>113000</v>
      </c>
      <c r="K69" s="25">
        <f t="shared" si="8"/>
        <v>10678.084160000002</v>
      </c>
      <c r="L69" s="31">
        <v>127</v>
      </c>
      <c r="M69" s="54">
        <v>1.5</v>
      </c>
      <c r="N69" s="27" t="s">
        <v>27</v>
      </c>
      <c r="O69" s="51">
        <v>8.9</v>
      </c>
      <c r="P69" s="28"/>
      <c r="Q69" s="40"/>
      <c r="R69" s="36" t="s">
        <v>117</v>
      </c>
      <c r="S69" s="37">
        <f t="shared" si="12"/>
        <v>54</v>
      </c>
      <c r="T69" s="38">
        <f t="shared" si="13"/>
        <v>6.082378080642338E-2</v>
      </c>
      <c r="U69" s="39">
        <f t="shared" si="14"/>
        <v>25.382006072078973</v>
      </c>
    </row>
    <row r="70" spans="1:21" ht="30" x14ac:dyDescent="0.25">
      <c r="A70" s="12">
        <v>69</v>
      </c>
      <c r="B70" s="13">
        <v>1962</v>
      </c>
      <c r="C70" s="13" t="s">
        <v>118</v>
      </c>
      <c r="D70" s="14">
        <v>44704</v>
      </c>
      <c r="E70" s="15">
        <v>530</v>
      </c>
      <c r="F70" s="13">
        <f>530+22</f>
        <v>552</v>
      </c>
      <c r="G70" s="13">
        <f t="shared" si="9"/>
        <v>1734.1080000000002</v>
      </c>
      <c r="H70" s="13">
        <f t="shared" si="10"/>
        <v>1.7341080000000002</v>
      </c>
      <c r="I70" s="13">
        <v>8</v>
      </c>
      <c r="J70" s="13">
        <f t="shared" si="11"/>
        <v>8000</v>
      </c>
      <c r="K70" s="25">
        <f t="shared" si="8"/>
        <v>5549.1456000000007</v>
      </c>
      <c r="L70" s="31">
        <v>136</v>
      </c>
      <c r="M70" s="54">
        <v>1.4</v>
      </c>
      <c r="N70" s="27" t="s">
        <v>34</v>
      </c>
      <c r="O70" s="51">
        <v>8</v>
      </c>
      <c r="P70" s="28"/>
      <c r="Q70" s="40"/>
      <c r="R70" s="36" t="s">
        <v>119</v>
      </c>
      <c r="S70" s="37">
        <f t="shared" si="12"/>
        <v>60</v>
      </c>
      <c r="T70" s="38">
        <f t="shared" si="13"/>
        <v>4.3832245030594318E-2</v>
      </c>
      <c r="U70" s="39">
        <f t="shared" si="14"/>
        <v>50.154379131897151</v>
      </c>
    </row>
    <row r="71" spans="1:21" ht="30" x14ac:dyDescent="0.25">
      <c r="A71" s="12">
        <v>70</v>
      </c>
      <c r="B71" s="13">
        <v>1962</v>
      </c>
      <c r="C71" s="13" t="s">
        <v>118</v>
      </c>
      <c r="D71" s="14">
        <v>44697</v>
      </c>
      <c r="E71" s="15">
        <v>530</v>
      </c>
      <c r="F71" s="13">
        <f>530+18</f>
        <v>548</v>
      </c>
      <c r="G71" s="13">
        <f t="shared" si="9"/>
        <v>1721.5420000000001</v>
      </c>
      <c r="H71" s="13">
        <f t="shared" si="10"/>
        <v>1.7215420000000001</v>
      </c>
      <c r="I71" s="13">
        <v>9</v>
      </c>
      <c r="J71" s="13">
        <f t="shared" si="11"/>
        <v>9000</v>
      </c>
      <c r="K71" s="25">
        <f t="shared" si="8"/>
        <v>6197.5512000000017</v>
      </c>
      <c r="L71" s="31">
        <v>137</v>
      </c>
      <c r="M71" s="54">
        <v>1.3</v>
      </c>
      <c r="N71" s="27" t="s">
        <v>34</v>
      </c>
      <c r="O71" s="51">
        <v>6.3</v>
      </c>
      <c r="P71" s="28"/>
      <c r="Q71" s="40"/>
      <c r="R71" s="36" t="s">
        <v>120</v>
      </c>
      <c r="S71" s="37">
        <f t="shared" si="12"/>
        <v>60</v>
      </c>
      <c r="T71" s="38">
        <f t="shared" si="13"/>
        <v>4.5674082969382711E-2</v>
      </c>
      <c r="U71" s="39">
        <f t="shared" si="14"/>
        <v>45.712330131267791</v>
      </c>
    </row>
    <row r="72" spans="1:21" ht="30" x14ac:dyDescent="0.25">
      <c r="A72" s="12">
        <v>71</v>
      </c>
      <c r="B72" s="13">
        <v>1973</v>
      </c>
      <c r="C72" s="13" t="s">
        <v>121</v>
      </c>
      <c r="D72" s="14">
        <v>44686</v>
      </c>
      <c r="E72" s="15">
        <v>57</v>
      </c>
      <c r="F72" s="13">
        <f>57+9.4+9.4</f>
        <v>75.800000000000011</v>
      </c>
      <c r="G72" s="13">
        <f t="shared" si="9"/>
        <v>238.12570000000005</v>
      </c>
      <c r="H72" s="13">
        <f t="shared" si="10"/>
        <v>0.23812570000000005</v>
      </c>
      <c r="I72" s="13">
        <v>166</v>
      </c>
      <c r="J72" s="13">
        <f t="shared" si="11"/>
        <v>166000</v>
      </c>
      <c r="K72" s="25">
        <f t="shared" si="8"/>
        <v>15811.546480000003</v>
      </c>
      <c r="L72" s="31">
        <v>130</v>
      </c>
      <c r="M72" s="54">
        <v>0.8</v>
      </c>
      <c r="N72" s="27" t="s">
        <v>27</v>
      </c>
      <c r="O72" s="51">
        <v>7.4</v>
      </c>
      <c r="P72" s="28"/>
      <c r="Q72" s="40"/>
      <c r="R72" s="36" t="s">
        <v>122</v>
      </c>
      <c r="S72" s="37">
        <f t="shared" si="12"/>
        <v>49</v>
      </c>
      <c r="T72" s="38">
        <f t="shared" si="13"/>
        <v>7.50414529568081E-2</v>
      </c>
      <c r="U72" s="39">
        <f t="shared" si="14"/>
        <v>15.341954307326009</v>
      </c>
    </row>
    <row r="73" spans="1:21" ht="45" x14ac:dyDescent="0.25">
      <c r="A73" s="12">
        <v>72</v>
      </c>
      <c r="B73" s="13">
        <v>1983</v>
      </c>
      <c r="C73" s="13" t="s">
        <v>123</v>
      </c>
      <c r="D73" s="14">
        <v>44670</v>
      </c>
      <c r="E73" s="15">
        <v>57</v>
      </c>
      <c r="F73" s="13">
        <f>57+20</f>
        <v>77</v>
      </c>
      <c r="G73" s="13">
        <f t="shared" si="9"/>
        <v>241.89550000000003</v>
      </c>
      <c r="H73" s="13">
        <f t="shared" si="10"/>
        <v>0.24189550000000001</v>
      </c>
      <c r="I73" s="13">
        <v>11</v>
      </c>
      <c r="J73" s="13">
        <f t="shared" si="11"/>
        <v>11000</v>
      </c>
      <c r="K73" s="25">
        <f t="shared" si="8"/>
        <v>1064.3402000000001</v>
      </c>
      <c r="L73" s="31">
        <v>123</v>
      </c>
      <c r="M73" s="54">
        <v>0.5</v>
      </c>
      <c r="N73" s="27" t="s">
        <v>34</v>
      </c>
      <c r="O73" s="51">
        <v>6.2</v>
      </c>
      <c r="P73" s="28"/>
      <c r="Q73" s="40"/>
      <c r="R73" s="36" t="s">
        <v>124</v>
      </c>
      <c r="S73" s="37">
        <f t="shared" si="12"/>
        <v>39</v>
      </c>
      <c r="T73" s="38">
        <f t="shared" si="13"/>
        <v>2.5093482270020055E-2</v>
      </c>
      <c r="U73" s="39">
        <f t="shared" si="14"/>
        <v>153.4130611027563</v>
      </c>
    </row>
    <row r="74" spans="1:21" ht="45" x14ac:dyDescent="0.25">
      <c r="A74" s="12">
        <v>73</v>
      </c>
      <c r="B74" s="13">
        <v>1983</v>
      </c>
      <c r="C74" s="13" t="s">
        <v>123</v>
      </c>
      <c r="D74" s="14">
        <v>44670</v>
      </c>
      <c r="E74" s="15">
        <v>89</v>
      </c>
      <c r="F74" s="13">
        <v>109</v>
      </c>
      <c r="G74" s="13">
        <f t="shared" si="9"/>
        <v>342.42350000000005</v>
      </c>
      <c r="H74" s="13">
        <f t="shared" si="10"/>
        <v>0.34242350000000005</v>
      </c>
      <c r="I74" s="13">
        <v>12</v>
      </c>
      <c r="J74" s="13">
        <f t="shared" si="11"/>
        <v>12000</v>
      </c>
      <c r="K74" s="25">
        <f t="shared" si="8"/>
        <v>1643.6328000000003</v>
      </c>
      <c r="L74" s="31">
        <v>141</v>
      </c>
      <c r="M74" s="54">
        <v>0.5</v>
      </c>
      <c r="N74" s="27" t="s">
        <v>34</v>
      </c>
      <c r="O74" s="51">
        <v>6.4</v>
      </c>
      <c r="P74" s="28"/>
      <c r="Q74" s="40"/>
      <c r="R74" s="36" t="s">
        <v>124</v>
      </c>
      <c r="S74" s="37">
        <f t="shared" si="12"/>
        <v>39</v>
      </c>
      <c r="T74" s="38">
        <f t="shared" si="13"/>
        <v>3.6235888356304403E-2</v>
      </c>
      <c r="U74" s="39">
        <f t="shared" si="14"/>
        <v>94.24673290263793</v>
      </c>
    </row>
    <row r="75" spans="1:21" ht="45" x14ac:dyDescent="0.25">
      <c r="A75" s="12">
        <v>74</v>
      </c>
      <c r="B75" s="13">
        <v>1983</v>
      </c>
      <c r="C75" s="13" t="s">
        <v>123</v>
      </c>
      <c r="D75" s="14">
        <v>44670</v>
      </c>
      <c r="E75" s="15">
        <v>108</v>
      </c>
      <c r="F75" s="13">
        <v>128</v>
      </c>
      <c r="G75" s="13">
        <f t="shared" si="9"/>
        <v>402.11200000000002</v>
      </c>
      <c r="H75" s="13">
        <f t="shared" si="10"/>
        <v>0.40211200000000002</v>
      </c>
      <c r="I75" s="13">
        <v>7</v>
      </c>
      <c r="J75" s="13">
        <f t="shared" si="11"/>
        <v>7000</v>
      </c>
      <c r="K75" s="25">
        <f t="shared" si="8"/>
        <v>1125.9136000000001</v>
      </c>
      <c r="L75" s="31">
        <v>125</v>
      </c>
      <c r="M75" s="54">
        <v>0.6</v>
      </c>
      <c r="N75" s="27" t="s">
        <v>34</v>
      </c>
      <c r="O75" s="51">
        <v>7</v>
      </c>
      <c r="P75" s="28"/>
      <c r="Q75" s="40"/>
      <c r="R75" s="36" t="s">
        <v>124</v>
      </c>
      <c r="S75" s="37">
        <f t="shared" si="12"/>
        <v>39</v>
      </c>
      <c r="T75" s="38">
        <f t="shared" si="13"/>
        <v>2.6535526329580981E-2</v>
      </c>
      <c r="U75" s="39">
        <f t="shared" si="14"/>
        <v>142.95658444203713</v>
      </c>
    </row>
    <row r="76" spans="1:21" ht="45" x14ac:dyDescent="0.25">
      <c r="A76" s="12">
        <v>75</v>
      </c>
      <c r="B76" s="13">
        <v>1983</v>
      </c>
      <c r="C76" s="13" t="s">
        <v>123</v>
      </c>
      <c r="D76" s="14">
        <v>44670</v>
      </c>
      <c r="E76" s="15">
        <v>159</v>
      </c>
      <c r="F76" s="13">
        <v>179</v>
      </c>
      <c r="G76" s="13">
        <f t="shared" si="9"/>
        <v>562.32850000000008</v>
      </c>
      <c r="H76" s="13">
        <f t="shared" si="10"/>
        <v>0.56232850000000012</v>
      </c>
      <c r="I76" s="13">
        <v>6</v>
      </c>
      <c r="J76" s="13">
        <f t="shared" si="11"/>
        <v>6000</v>
      </c>
      <c r="K76" s="25">
        <f t="shared" si="8"/>
        <v>1349.5884000000003</v>
      </c>
      <c r="L76" s="31">
        <v>127</v>
      </c>
      <c r="M76" s="54">
        <v>0.6</v>
      </c>
      <c r="N76" s="27" t="s">
        <v>34</v>
      </c>
      <c r="O76" s="51">
        <v>7.2</v>
      </c>
      <c r="P76" s="28"/>
      <c r="Q76" s="40"/>
      <c r="R76" s="36" t="s">
        <v>124</v>
      </c>
      <c r="S76" s="37">
        <f t="shared" si="12"/>
        <v>39</v>
      </c>
      <c r="T76" s="38">
        <f t="shared" si="13"/>
        <v>3.1181804844808661E-2</v>
      </c>
      <c r="U76" s="39">
        <f t="shared" si="14"/>
        <v>115.84394701758735</v>
      </c>
    </row>
    <row r="77" spans="1:21" ht="45" x14ac:dyDescent="0.25">
      <c r="A77" s="12">
        <v>76</v>
      </c>
      <c r="B77" s="13">
        <v>1983</v>
      </c>
      <c r="C77" s="13" t="s">
        <v>123</v>
      </c>
      <c r="D77" s="14">
        <v>44679</v>
      </c>
      <c r="E77" s="15">
        <v>57</v>
      </c>
      <c r="F77" s="13">
        <f>57+20</f>
        <v>77</v>
      </c>
      <c r="G77" s="13">
        <f t="shared" si="9"/>
        <v>241.89550000000003</v>
      </c>
      <c r="H77" s="13">
        <f t="shared" si="10"/>
        <v>0.24189550000000001</v>
      </c>
      <c r="I77" s="13">
        <v>12</v>
      </c>
      <c r="J77" s="13">
        <f t="shared" si="11"/>
        <v>12000</v>
      </c>
      <c r="K77" s="25">
        <f t="shared" si="8"/>
        <v>1161.0984000000003</v>
      </c>
      <c r="L77" s="31">
        <v>143</v>
      </c>
      <c r="M77" s="54">
        <v>0.7</v>
      </c>
      <c r="N77" s="27" t="s">
        <v>27</v>
      </c>
      <c r="O77" s="51">
        <v>9.6</v>
      </c>
      <c r="P77" s="28"/>
      <c r="Q77" s="40"/>
      <c r="R77" s="36" t="s">
        <v>124</v>
      </c>
      <c r="S77" s="37">
        <f t="shared" si="12"/>
        <v>39</v>
      </c>
      <c r="T77" s="38">
        <f t="shared" si="13"/>
        <v>2.7324543218472101E-2</v>
      </c>
      <c r="U77" s="39">
        <f t="shared" si="14"/>
        <v>137.70245020009102</v>
      </c>
    </row>
    <row r="78" spans="1:21" ht="45" x14ac:dyDescent="0.25">
      <c r="A78" s="12">
        <v>77</v>
      </c>
      <c r="B78" s="13">
        <v>1983</v>
      </c>
      <c r="C78" s="13" t="s">
        <v>123</v>
      </c>
      <c r="D78" s="14">
        <v>44679</v>
      </c>
      <c r="E78" s="15">
        <v>57</v>
      </c>
      <c r="F78" s="13">
        <v>77</v>
      </c>
      <c r="G78" s="13">
        <f t="shared" si="9"/>
        <v>241.89550000000003</v>
      </c>
      <c r="H78" s="13">
        <f t="shared" si="10"/>
        <v>0.24189550000000001</v>
      </c>
      <c r="I78" s="13">
        <v>11</v>
      </c>
      <c r="J78" s="13">
        <f t="shared" si="11"/>
        <v>11000</v>
      </c>
      <c r="K78" s="25">
        <f t="shared" si="8"/>
        <v>1064.3402000000001</v>
      </c>
      <c r="L78" s="31">
        <v>105</v>
      </c>
      <c r="M78" s="54">
        <v>1</v>
      </c>
      <c r="N78" s="27" t="s">
        <v>27</v>
      </c>
      <c r="O78" s="51">
        <v>8.5</v>
      </c>
      <c r="P78" s="28"/>
      <c r="Q78" s="40"/>
      <c r="R78" s="36" t="s">
        <v>124</v>
      </c>
      <c r="S78" s="37">
        <f t="shared" si="12"/>
        <v>39</v>
      </c>
      <c r="T78" s="38">
        <f t="shared" si="13"/>
        <v>2.5093482270020055E-2</v>
      </c>
      <c r="U78" s="39">
        <f t="shared" si="14"/>
        <v>153.4130611027563</v>
      </c>
    </row>
    <row r="79" spans="1:21" ht="45" x14ac:dyDescent="0.25">
      <c r="A79" s="12">
        <v>78</v>
      </c>
      <c r="B79" s="13">
        <v>1983</v>
      </c>
      <c r="C79" s="13" t="s">
        <v>123</v>
      </c>
      <c r="D79" s="14">
        <v>44679</v>
      </c>
      <c r="E79" s="15">
        <v>57</v>
      </c>
      <c r="F79" s="13">
        <v>77</v>
      </c>
      <c r="G79" s="13">
        <f t="shared" si="9"/>
        <v>241.89550000000003</v>
      </c>
      <c r="H79" s="13">
        <f t="shared" si="10"/>
        <v>0.24189550000000001</v>
      </c>
      <c r="I79" s="13">
        <v>14</v>
      </c>
      <c r="J79" s="13">
        <f t="shared" si="11"/>
        <v>14000</v>
      </c>
      <c r="K79" s="25">
        <f t="shared" si="8"/>
        <v>1354.6148000000003</v>
      </c>
      <c r="L79" s="31">
        <v>108</v>
      </c>
      <c r="M79" s="54">
        <v>1</v>
      </c>
      <c r="N79" s="27" t="s">
        <v>27</v>
      </c>
      <c r="O79" s="51">
        <v>8</v>
      </c>
      <c r="P79" s="28"/>
      <c r="Q79" s="40"/>
      <c r="R79" s="36" t="s">
        <v>124</v>
      </c>
      <c r="S79" s="37">
        <f t="shared" si="12"/>
        <v>39</v>
      </c>
      <c r="T79" s="38">
        <f t="shared" si="13"/>
        <v>3.1277124752504368E-2</v>
      </c>
      <c r="U79" s="39">
        <f t="shared" si="14"/>
        <v>115.37204588045442</v>
      </c>
    </row>
    <row r="80" spans="1:21" ht="45" x14ac:dyDescent="0.25">
      <c r="A80" s="12">
        <v>79</v>
      </c>
      <c r="B80" s="13">
        <v>1982</v>
      </c>
      <c r="C80" s="13" t="s">
        <v>123</v>
      </c>
      <c r="D80" s="14">
        <v>44680</v>
      </c>
      <c r="E80" s="15">
        <v>57</v>
      </c>
      <c r="F80" s="13">
        <v>67.400000000000006</v>
      </c>
      <c r="G80" s="13">
        <f t="shared" si="9"/>
        <v>211.73710000000003</v>
      </c>
      <c r="H80" s="13">
        <f t="shared" si="10"/>
        <v>0.21173710000000004</v>
      </c>
      <c r="I80" s="13">
        <v>98</v>
      </c>
      <c r="J80" s="13">
        <f t="shared" si="11"/>
        <v>98000</v>
      </c>
      <c r="K80" s="25">
        <f t="shared" si="8"/>
        <v>8300.094320000002</v>
      </c>
      <c r="L80" s="31">
        <v>161</v>
      </c>
      <c r="M80" s="54">
        <v>0.7</v>
      </c>
      <c r="N80" s="27" t="s">
        <v>27</v>
      </c>
      <c r="O80" s="51">
        <v>4.4000000000000004</v>
      </c>
      <c r="P80" s="28"/>
      <c r="Q80" s="40"/>
      <c r="R80" s="36" t="s">
        <v>124</v>
      </c>
      <c r="S80" s="37">
        <f t="shared" si="12"/>
        <v>40</v>
      </c>
      <c r="T80" s="38">
        <f t="shared" si="13"/>
        <v>7.5813940261689028E-2</v>
      </c>
      <c r="U80" s="39">
        <f t="shared" si="14"/>
        <v>23.686357952591305</v>
      </c>
    </row>
    <row r="81" spans="1:21" ht="45" x14ac:dyDescent="0.25">
      <c r="A81" s="12">
        <v>80</v>
      </c>
      <c r="B81" s="13">
        <v>1982</v>
      </c>
      <c r="C81" s="13" t="s">
        <v>123</v>
      </c>
      <c r="D81" s="14">
        <v>44680</v>
      </c>
      <c r="E81" s="15">
        <v>57</v>
      </c>
      <c r="F81" s="13">
        <v>67.400000000000006</v>
      </c>
      <c r="G81" s="13">
        <f t="shared" si="9"/>
        <v>211.73710000000003</v>
      </c>
      <c r="H81" s="13">
        <f t="shared" si="10"/>
        <v>0.21173710000000004</v>
      </c>
      <c r="I81" s="13">
        <v>110</v>
      </c>
      <c r="J81" s="13">
        <f t="shared" si="11"/>
        <v>110000</v>
      </c>
      <c r="K81" s="25">
        <f t="shared" si="8"/>
        <v>9316.4324000000015</v>
      </c>
      <c r="L81" s="31">
        <v>156</v>
      </c>
      <c r="M81" s="54">
        <v>0.7</v>
      </c>
      <c r="N81" s="27" t="s">
        <v>27</v>
      </c>
      <c r="O81" s="51">
        <v>4.5</v>
      </c>
      <c r="P81" s="28"/>
      <c r="Q81" s="40"/>
      <c r="R81" s="36" t="s">
        <v>124</v>
      </c>
      <c r="S81" s="37">
        <f t="shared" si="12"/>
        <v>40</v>
      </c>
      <c r="T81" s="38">
        <f t="shared" si="13"/>
        <v>7.8701762439735146E-2</v>
      </c>
      <c r="U81" s="39">
        <f t="shared" si="14"/>
        <v>21.349499523590975</v>
      </c>
    </row>
    <row r="82" spans="1:21" ht="45" x14ac:dyDescent="0.25">
      <c r="A82" s="12">
        <v>81</v>
      </c>
      <c r="B82" s="13">
        <v>1983</v>
      </c>
      <c r="C82" s="13" t="s">
        <v>123</v>
      </c>
      <c r="D82" s="14">
        <v>44719</v>
      </c>
      <c r="E82" s="15">
        <v>108</v>
      </c>
      <c r="F82" s="13">
        <f>108+9.2+9.2</f>
        <v>126.4</v>
      </c>
      <c r="G82" s="13">
        <f t="shared" si="9"/>
        <v>397.08560000000006</v>
      </c>
      <c r="H82" s="13">
        <f t="shared" si="10"/>
        <v>0.39708560000000004</v>
      </c>
      <c r="I82" s="13">
        <v>15</v>
      </c>
      <c r="J82" s="13">
        <f t="shared" si="11"/>
        <v>15000</v>
      </c>
      <c r="K82" s="25">
        <f t="shared" si="8"/>
        <v>2382.5136000000002</v>
      </c>
      <c r="L82" s="31">
        <v>147</v>
      </c>
      <c r="M82" s="54">
        <v>1.2</v>
      </c>
      <c r="N82" s="27" t="s">
        <v>34</v>
      </c>
      <c r="O82" s="51">
        <v>6.6</v>
      </c>
      <c r="P82" s="28"/>
      <c r="Q82" s="40"/>
      <c r="R82" s="36" t="s">
        <v>124</v>
      </c>
      <c r="S82" s="37">
        <f t="shared" si="12"/>
        <v>39</v>
      </c>
      <c r="T82" s="38">
        <f t="shared" si="13"/>
        <v>4.5755046069069098E-2</v>
      </c>
      <c r="U82" s="39">
        <f t="shared" si="14"/>
        <v>66.525273212789813</v>
      </c>
    </row>
    <row r="83" spans="1:21" x14ac:dyDescent="0.25">
      <c r="A83" s="12">
        <v>82</v>
      </c>
      <c r="B83" s="13">
        <v>1982</v>
      </c>
      <c r="C83" s="13" t="s">
        <v>123</v>
      </c>
      <c r="D83" s="14">
        <v>44679</v>
      </c>
      <c r="E83" s="15">
        <v>125</v>
      </c>
      <c r="F83" s="13">
        <f>128+18</f>
        <v>146</v>
      </c>
      <c r="G83" s="13">
        <f t="shared" si="9"/>
        <v>458.65900000000005</v>
      </c>
      <c r="H83" s="13">
        <f t="shared" si="10"/>
        <v>0.45865900000000004</v>
      </c>
      <c r="I83" s="13">
        <v>7</v>
      </c>
      <c r="J83" s="13">
        <f t="shared" si="11"/>
        <v>7000</v>
      </c>
      <c r="K83" s="25">
        <f t="shared" si="8"/>
        <v>1284.2452000000003</v>
      </c>
      <c r="L83" s="31">
        <v>128</v>
      </c>
      <c r="M83" s="54"/>
      <c r="N83" s="27"/>
      <c r="O83" s="51"/>
      <c r="P83" s="28"/>
      <c r="Q83" s="40"/>
      <c r="R83" s="36"/>
      <c r="S83" s="37">
        <f t="shared" si="12"/>
        <v>40</v>
      </c>
      <c r="T83" s="38">
        <f t="shared" si="13"/>
        <v>2.9161547116059439E-2</v>
      </c>
      <c r="U83" s="39">
        <f t="shared" si="14"/>
        <v>125.57124757771578</v>
      </c>
    </row>
    <row r="84" spans="1:21" x14ac:dyDescent="0.25">
      <c r="A84" s="12">
        <v>83</v>
      </c>
      <c r="B84" s="13">
        <v>1983</v>
      </c>
      <c r="C84" s="13" t="s">
        <v>125</v>
      </c>
      <c r="D84" s="14">
        <v>44677</v>
      </c>
      <c r="E84" s="15">
        <v>89</v>
      </c>
      <c r="F84" s="13">
        <f>89+18</f>
        <v>107</v>
      </c>
      <c r="G84" s="13">
        <f t="shared" si="9"/>
        <v>336.14050000000003</v>
      </c>
      <c r="H84" s="13">
        <f t="shared" si="10"/>
        <v>0.33614050000000001</v>
      </c>
      <c r="I84" s="13">
        <v>8</v>
      </c>
      <c r="J84" s="13">
        <f t="shared" si="11"/>
        <v>8000</v>
      </c>
      <c r="K84" s="25">
        <f t="shared" si="8"/>
        <v>1075.6496</v>
      </c>
      <c r="L84" s="31">
        <v>145</v>
      </c>
      <c r="M84" s="54">
        <v>1.4</v>
      </c>
      <c r="N84" s="27" t="s">
        <v>110</v>
      </c>
      <c r="O84" s="51">
        <v>9</v>
      </c>
      <c r="P84" s="28"/>
      <c r="Q84" s="40"/>
      <c r="R84" s="36" t="s">
        <v>126</v>
      </c>
      <c r="S84" s="37">
        <f t="shared" si="12"/>
        <v>39</v>
      </c>
      <c r="T84" s="38">
        <f t="shared" si="13"/>
        <v>2.5364499744114605E-2</v>
      </c>
      <c r="U84" s="39">
        <f t="shared" si="14"/>
        <v>151.35714427691906</v>
      </c>
    </row>
    <row r="85" spans="1:21" ht="30" x14ac:dyDescent="0.25">
      <c r="A85" s="12">
        <v>84</v>
      </c>
      <c r="B85" s="13">
        <v>1982</v>
      </c>
      <c r="C85" s="13" t="s">
        <v>127</v>
      </c>
      <c r="D85" s="14">
        <v>44665</v>
      </c>
      <c r="E85" s="15">
        <v>133</v>
      </c>
      <c r="F85" s="13">
        <f>133+8.5+8.5</f>
        <v>150</v>
      </c>
      <c r="G85" s="13">
        <f t="shared" si="9"/>
        <v>471.22500000000002</v>
      </c>
      <c r="H85" s="13">
        <f t="shared" si="10"/>
        <v>0.471225</v>
      </c>
      <c r="I85" s="13">
        <v>6</v>
      </c>
      <c r="J85" s="13">
        <f t="shared" si="11"/>
        <v>6000</v>
      </c>
      <c r="K85" s="25">
        <f t="shared" si="8"/>
        <v>1130.94</v>
      </c>
      <c r="L85" s="31">
        <v>138</v>
      </c>
      <c r="M85" s="54">
        <v>1.1000000000000001</v>
      </c>
      <c r="N85" s="27" t="s">
        <v>34</v>
      </c>
      <c r="O85" s="51">
        <v>6.8</v>
      </c>
      <c r="P85" s="28"/>
      <c r="Q85" s="40"/>
      <c r="R85" s="36" t="s">
        <v>128</v>
      </c>
      <c r="S85" s="37">
        <f t="shared" si="12"/>
        <v>40</v>
      </c>
      <c r="T85" s="38">
        <f t="shared" si="13"/>
        <v>2.5983496930075962E-2</v>
      </c>
      <c r="U85" s="39">
        <f t="shared" si="14"/>
        <v>145.82232215685781</v>
      </c>
    </row>
    <row r="86" spans="1:21" ht="30" x14ac:dyDescent="0.25">
      <c r="A86" s="12">
        <v>85</v>
      </c>
      <c r="B86" s="13">
        <v>1982</v>
      </c>
      <c r="C86" s="13" t="s">
        <v>127</v>
      </c>
      <c r="D86" s="14">
        <v>44665</v>
      </c>
      <c r="E86" s="15">
        <v>133</v>
      </c>
      <c r="F86" s="13">
        <f>133+18</f>
        <v>151</v>
      </c>
      <c r="G86" s="13">
        <f t="shared" si="9"/>
        <v>474.36650000000003</v>
      </c>
      <c r="H86" s="13">
        <f t="shared" si="10"/>
        <v>0.47436650000000002</v>
      </c>
      <c r="I86" s="13">
        <v>7</v>
      </c>
      <c r="J86" s="13">
        <f t="shared" si="11"/>
        <v>7000</v>
      </c>
      <c r="K86" s="25">
        <f t="shared" si="8"/>
        <v>1328.2262000000001</v>
      </c>
      <c r="L86" s="31">
        <v>162</v>
      </c>
      <c r="M86" s="54">
        <v>0.9</v>
      </c>
      <c r="N86" s="27" t="s">
        <v>22</v>
      </c>
      <c r="O86" s="51">
        <v>6.6</v>
      </c>
      <c r="P86" s="28"/>
      <c r="Q86" s="40"/>
      <c r="R86" s="36" t="s">
        <v>129</v>
      </c>
      <c r="S86" s="37">
        <f t="shared" si="12"/>
        <v>40</v>
      </c>
      <c r="T86" s="38">
        <f t="shared" si="13"/>
        <v>3.0003377493724132E-2</v>
      </c>
      <c r="U86" s="39">
        <f t="shared" si="14"/>
        <v>120.92567372830774</v>
      </c>
    </row>
    <row r="87" spans="1:21" ht="30" x14ac:dyDescent="0.25">
      <c r="A87" s="12">
        <v>86</v>
      </c>
      <c r="B87" s="13">
        <v>1982</v>
      </c>
      <c r="C87" s="13" t="s">
        <v>127</v>
      </c>
      <c r="D87" s="14">
        <v>44669</v>
      </c>
      <c r="E87" s="15">
        <v>133</v>
      </c>
      <c r="F87" s="13">
        <f>133+16</f>
        <v>149</v>
      </c>
      <c r="G87" s="13">
        <f t="shared" si="9"/>
        <v>468.08350000000002</v>
      </c>
      <c r="H87" s="13">
        <f t="shared" si="10"/>
        <v>0.46808350000000004</v>
      </c>
      <c r="I87" s="13">
        <v>8</v>
      </c>
      <c r="J87" s="13">
        <f t="shared" si="11"/>
        <v>8000</v>
      </c>
      <c r="K87" s="25">
        <f t="shared" si="8"/>
        <v>1497.8672000000001</v>
      </c>
      <c r="L87" s="31">
        <v>115</v>
      </c>
      <c r="M87" s="54">
        <v>0.7</v>
      </c>
      <c r="N87" s="27" t="s">
        <v>34</v>
      </c>
      <c r="O87" s="51">
        <v>5.8</v>
      </c>
      <c r="P87" s="28"/>
      <c r="Q87" s="40"/>
      <c r="R87" s="36" t="s">
        <v>130</v>
      </c>
      <c r="S87" s="37">
        <f t="shared" si="12"/>
        <v>40</v>
      </c>
      <c r="T87" s="38">
        <f t="shared" si="13"/>
        <v>3.3008324037600567E-2</v>
      </c>
      <c r="U87" s="39">
        <f t="shared" si="14"/>
        <v>106.27564040519761</v>
      </c>
    </row>
    <row r="88" spans="1:21" ht="30" x14ac:dyDescent="0.25">
      <c r="A88" s="12">
        <v>87</v>
      </c>
      <c r="B88" s="13">
        <v>1982</v>
      </c>
      <c r="C88" s="13" t="s">
        <v>127</v>
      </c>
      <c r="D88" s="14">
        <v>44669</v>
      </c>
      <c r="E88" s="15">
        <v>133</v>
      </c>
      <c r="F88" s="13">
        <f>133+6.2+6.2</f>
        <v>145.39999999999998</v>
      </c>
      <c r="G88" s="13">
        <f t="shared" si="9"/>
        <v>456.77409999999998</v>
      </c>
      <c r="H88" s="13">
        <f t="shared" si="10"/>
        <v>0.45677409999999996</v>
      </c>
      <c r="I88" s="13">
        <v>7</v>
      </c>
      <c r="J88" s="13">
        <f t="shared" si="11"/>
        <v>7000</v>
      </c>
      <c r="K88" s="25">
        <f t="shared" si="8"/>
        <v>1278.96748</v>
      </c>
      <c r="L88" s="31">
        <v>128</v>
      </c>
      <c r="M88" s="54">
        <v>0.8</v>
      </c>
      <c r="N88" s="27" t="s">
        <v>34</v>
      </c>
      <c r="O88" s="51">
        <v>5.8</v>
      </c>
      <c r="P88" s="28"/>
      <c r="Q88" s="40"/>
      <c r="R88" s="36" t="s">
        <v>130</v>
      </c>
      <c r="S88" s="37">
        <f t="shared" si="12"/>
        <v>40</v>
      </c>
      <c r="T88" s="38">
        <f t="shared" si="13"/>
        <v>2.90585957008365E-2</v>
      </c>
      <c r="U88" s="39">
        <f t="shared" si="14"/>
        <v>126.15784833550337</v>
      </c>
    </row>
    <row r="89" spans="1:21" ht="30" x14ac:dyDescent="0.25">
      <c r="A89" s="12">
        <v>88</v>
      </c>
      <c r="B89" s="13">
        <v>1982</v>
      </c>
      <c r="C89" s="13" t="s">
        <v>127</v>
      </c>
      <c r="D89" s="14">
        <v>44669</v>
      </c>
      <c r="E89" s="15">
        <v>133</v>
      </c>
      <c r="F89" s="13">
        <f>133+22</f>
        <v>155</v>
      </c>
      <c r="G89" s="13">
        <f t="shared" si="9"/>
        <v>486.9325</v>
      </c>
      <c r="H89" s="13">
        <f t="shared" si="10"/>
        <v>0.48693249999999999</v>
      </c>
      <c r="I89" s="13">
        <v>6</v>
      </c>
      <c r="J89" s="13">
        <f t="shared" si="11"/>
        <v>6000</v>
      </c>
      <c r="K89" s="25">
        <f t="shared" si="8"/>
        <v>1168.6379999999999</v>
      </c>
      <c r="L89" s="31">
        <v>123</v>
      </c>
      <c r="M89" s="54">
        <v>0.8</v>
      </c>
      <c r="N89" s="27" t="s">
        <v>22</v>
      </c>
      <c r="O89" s="51">
        <v>10.199999999999999</v>
      </c>
      <c r="P89" s="28"/>
      <c r="Q89" s="40"/>
      <c r="R89" s="36" t="s">
        <v>130</v>
      </c>
      <c r="S89" s="37">
        <f t="shared" si="12"/>
        <v>40</v>
      </c>
      <c r="T89" s="38">
        <f t="shared" si="13"/>
        <v>2.6803242500650734E-2</v>
      </c>
      <c r="U89" s="39">
        <f t="shared" si="14"/>
        <v>140.13916552018208</v>
      </c>
    </row>
    <row r="90" spans="1:21" ht="30" x14ac:dyDescent="0.25">
      <c r="A90" s="12">
        <v>89</v>
      </c>
      <c r="B90" s="13">
        <v>1982</v>
      </c>
      <c r="C90" s="13" t="s">
        <v>127</v>
      </c>
      <c r="D90" s="14">
        <v>44685</v>
      </c>
      <c r="E90" s="15">
        <v>133</v>
      </c>
      <c r="F90" s="13">
        <f>133+18</f>
        <v>151</v>
      </c>
      <c r="G90" s="13">
        <f t="shared" si="9"/>
        <v>474.36650000000003</v>
      </c>
      <c r="H90" s="13">
        <f t="shared" si="10"/>
        <v>0.47436650000000002</v>
      </c>
      <c r="I90" s="13">
        <v>204</v>
      </c>
      <c r="J90" s="13">
        <f t="shared" si="11"/>
        <v>204000</v>
      </c>
      <c r="K90" s="25">
        <f t="shared" si="8"/>
        <v>38708.306400000001</v>
      </c>
      <c r="L90" s="31">
        <v>160</v>
      </c>
      <c r="M90" s="54">
        <v>0.7</v>
      </c>
      <c r="N90" s="27" t="s">
        <v>34</v>
      </c>
      <c r="O90" s="51">
        <v>8.8000000000000007</v>
      </c>
      <c r="P90" s="28"/>
      <c r="Q90" s="40"/>
      <c r="R90" s="36" t="s">
        <v>130</v>
      </c>
      <c r="S90" s="37">
        <f t="shared" si="12"/>
        <v>40</v>
      </c>
      <c r="T90" s="38">
        <f t="shared" si="13"/>
        <v>0.11430862361344672</v>
      </c>
      <c r="U90" s="39">
        <f t="shared" si="14"/>
        <v>2.2392780585831651</v>
      </c>
    </row>
    <row r="91" spans="1:21" ht="30" x14ac:dyDescent="0.25">
      <c r="A91" s="12">
        <v>90</v>
      </c>
      <c r="B91" s="13">
        <v>1962</v>
      </c>
      <c r="C91" s="13" t="s">
        <v>131</v>
      </c>
      <c r="D91" s="14">
        <v>44652</v>
      </c>
      <c r="E91" s="15">
        <v>108</v>
      </c>
      <c r="F91" s="13">
        <f>108+9.4+9.4</f>
        <v>126.80000000000001</v>
      </c>
      <c r="G91" s="13">
        <f t="shared" si="9"/>
        <v>398.34220000000005</v>
      </c>
      <c r="H91" s="13">
        <f t="shared" si="10"/>
        <v>0.39834220000000004</v>
      </c>
      <c r="I91" s="13">
        <v>8</v>
      </c>
      <c r="J91" s="13">
        <f t="shared" si="11"/>
        <v>8000</v>
      </c>
      <c r="K91" s="25">
        <f t="shared" si="8"/>
        <v>1274.6950400000001</v>
      </c>
      <c r="L91" s="31">
        <v>143</v>
      </c>
      <c r="M91" s="54">
        <v>1.5</v>
      </c>
      <c r="N91" s="27" t="s">
        <v>34</v>
      </c>
      <c r="O91" s="51">
        <v>6.4</v>
      </c>
      <c r="P91" s="28"/>
      <c r="Q91" s="40"/>
      <c r="R91" s="36" t="s">
        <v>132</v>
      </c>
      <c r="S91" s="37">
        <f t="shared" si="12"/>
        <v>60</v>
      </c>
      <c r="T91" s="38">
        <f t="shared" si="13"/>
        <v>1.9316628292694819E-2</v>
      </c>
      <c r="U91" s="39">
        <f t="shared" si="14"/>
        <v>189.95634145573311</v>
      </c>
    </row>
    <row r="92" spans="1:21" ht="45" x14ac:dyDescent="0.25">
      <c r="A92" s="12">
        <v>91</v>
      </c>
      <c r="B92" s="13">
        <v>1977</v>
      </c>
      <c r="C92" s="13" t="s">
        <v>133</v>
      </c>
      <c r="D92" s="14">
        <v>44663</v>
      </c>
      <c r="E92" s="15">
        <v>57</v>
      </c>
      <c r="F92" s="13">
        <f>57+18.6</f>
        <v>75.599999999999994</v>
      </c>
      <c r="G92" s="13">
        <f t="shared" si="9"/>
        <v>237.4974</v>
      </c>
      <c r="H92" s="13">
        <f t="shared" si="10"/>
        <v>0.2374974</v>
      </c>
      <c r="I92" s="13">
        <v>14</v>
      </c>
      <c r="J92" s="13">
        <f t="shared" si="11"/>
        <v>14000</v>
      </c>
      <c r="K92" s="25">
        <f t="shared" si="8"/>
        <v>1329.9854400000002</v>
      </c>
      <c r="L92" s="31">
        <v>129</v>
      </c>
      <c r="M92" s="54">
        <v>1.5</v>
      </c>
      <c r="N92" s="27" t="s">
        <v>34</v>
      </c>
      <c r="O92" s="51">
        <v>7.8</v>
      </c>
      <c r="P92" s="28"/>
      <c r="Q92" s="40"/>
      <c r="R92" s="36" t="s">
        <v>134</v>
      </c>
      <c r="S92" s="37">
        <f t="shared" si="12"/>
        <v>45</v>
      </c>
      <c r="T92" s="38">
        <f t="shared" si="13"/>
        <v>2.6699082815099414E-2</v>
      </c>
      <c r="U92" s="39">
        <f t="shared" si="14"/>
        <v>135.8419326888523</v>
      </c>
    </row>
    <row r="93" spans="1:21" ht="45" x14ac:dyDescent="0.25">
      <c r="A93" s="12">
        <v>92</v>
      </c>
      <c r="B93" s="13">
        <v>1977</v>
      </c>
      <c r="C93" s="13" t="s">
        <v>133</v>
      </c>
      <c r="D93" s="14">
        <v>44663</v>
      </c>
      <c r="E93" s="15">
        <v>57</v>
      </c>
      <c r="F93" s="13">
        <f>57+18</f>
        <v>75</v>
      </c>
      <c r="G93" s="13">
        <f t="shared" si="9"/>
        <v>235.61250000000001</v>
      </c>
      <c r="H93" s="13">
        <f t="shared" si="10"/>
        <v>0.2356125</v>
      </c>
      <c r="I93" s="13">
        <v>12</v>
      </c>
      <c r="J93" s="13">
        <f t="shared" si="11"/>
        <v>12000</v>
      </c>
      <c r="K93" s="25">
        <f t="shared" si="8"/>
        <v>1130.94</v>
      </c>
      <c r="L93" s="31">
        <v>129</v>
      </c>
      <c r="M93" s="54">
        <v>1.3</v>
      </c>
      <c r="N93" s="27" t="s">
        <v>34</v>
      </c>
      <c r="O93" s="51">
        <v>6.8</v>
      </c>
      <c r="P93" s="28"/>
      <c r="Q93" s="40"/>
      <c r="R93" s="36" t="s">
        <v>134</v>
      </c>
      <c r="S93" s="37">
        <f t="shared" si="12"/>
        <v>45</v>
      </c>
      <c r="T93" s="38">
        <f t="shared" si="13"/>
        <v>2.3096441715623077E-2</v>
      </c>
      <c r="U93" s="39">
        <f t="shared" si="14"/>
        <v>164.05011242646503</v>
      </c>
    </row>
    <row r="94" spans="1:21" ht="30" x14ac:dyDescent="0.25">
      <c r="A94" s="12">
        <v>93</v>
      </c>
      <c r="B94" s="13">
        <v>1961</v>
      </c>
      <c r="C94" s="13" t="s">
        <v>135</v>
      </c>
      <c r="D94" s="14">
        <v>44655</v>
      </c>
      <c r="E94" s="15">
        <v>325</v>
      </c>
      <c r="F94" s="13">
        <f>325+8.6+8.6</f>
        <v>342.20000000000005</v>
      </c>
      <c r="G94" s="13">
        <f t="shared" si="9"/>
        <v>1075.0213000000001</v>
      </c>
      <c r="H94" s="13">
        <f t="shared" si="10"/>
        <v>1.0750213000000002</v>
      </c>
      <c r="I94" s="13">
        <v>4</v>
      </c>
      <c r="J94" s="13">
        <f t="shared" si="11"/>
        <v>4000</v>
      </c>
      <c r="K94" s="25">
        <f t="shared" si="8"/>
        <v>1720.0340800000004</v>
      </c>
      <c r="L94" s="31">
        <v>122</v>
      </c>
      <c r="M94" s="54">
        <v>1.7</v>
      </c>
      <c r="N94" s="27" t="s">
        <v>27</v>
      </c>
      <c r="O94" s="51">
        <v>7.9</v>
      </c>
      <c r="P94" s="28"/>
      <c r="Q94" s="40"/>
      <c r="R94" s="36" t="s">
        <v>136</v>
      </c>
      <c r="S94" s="37">
        <f t="shared" si="12"/>
        <v>61</v>
      </c>
      <c r="T94" s="38">
        <f t="shared" si="13"/>
        <v>2.3912046499290351E-2</v>
      </c>
      <c r="U94" s="39">
        <f t="shared" si="14"/>
        <v>140.91972014798452</v>
      </c>
    </row>
    <row r="95" spans="1:21" ht="30" x14ac:dyDescent="0.25">
      <c r="A95" s="12">
        <v>94</v>
      </c>
      <c r="B95" s="13">
        <v>1961</v>
      </c>
      <c r="C95" s="13" t="s">
        <v>135</v>
      </c>
      <c r="D95" s="14">
        <v>44655</v>
      </c>
      <c r="E95" s="15">
        <v>325</v>
      </c>
      <c r="F95" s="13">
        <f>325+9.7+0.97</f>
        <v>335.67</v>
      </c>
      <c r="G95" s="13">
        <f t="shared" si="9"/>
        <v>1054.5073050000001</v>
      </c>
      <c r="H95" s="13">
        <f t="shared" si="10"/>
        <v>1.054507305</v>
      </c>
      <c r="I95" s="13">
        <v>3</v>
      </c>
      <c r="J95" s="13">
        <f t="shared" si="11"/>
        <v>3000</v>
      </c>
      <c r="K95" s="25">
        <f t="shared" si="8"/>
        <v>1265.408766</v>
      </c>
      <c r="L95" s="31">
        <v>137</v>
      </c>
      <c r="M95" s="54">
        <v>1.5</v>
      </c>
      <c r="N95" s="27" t="s">
        <v>27</v>
      </c>
      <c r="O95" s="51">
        <v>8.6</v>
      </c>
      <c r="P95" s="28"/>
      <c r="Q95" s="40"/>
      <c r="R95" s="36" t="s">
        <v>136</v>
      </c>
      <c r="S95" s="37">
        <f t="shared" si="12"/>
        <v>61</v>
      </c>
      <c r="T95" s="38">
        <f t="shared" si="13"/>
        <v>1.8880097328435687E-2</v>
      </c>
      <c r="U95" s="39">
        <f t="shared" si="14"/>
        <v>194.7356380801217</v>
      </c>
    </row>
    <row r="96" spans="1:21" ht="30" x14ac:dyDescent="0.25">
      <c r="A96" s="12">
        <v>95</v>
      </c>
      <c r="B96" s="13">
        <v>1974</v>
      </c>
      <c r="C96" s="13" t="s">
        <v>137</v>
      </c>
      <c r="D96" s="14">
        <v>44670</v>
      </c>
      <c r="E96" s="15">
        <v>57</v>
      </c>
      <c r="F96" s="13">
        <f>57+14.4</f>
        <v>71.400000000000006</v>
      </c>
      <c r="G96" s="13">
        <f t="shared" si="9"/>
        <v>224.30310000000003</v>
      </c>
      <c r="H96" s="13">
        <f t="shared" si="10"/>
        <v>0.22430310000000003</v>
      </c>
      <c r="I96" s="13">
        <v>66</v>
      </c>
      <c r="J96" s="13">
        <f t="shared" si="11"/>
        <v>66000</v>
      </c>
      <c r="K96" s="25">
        <f t="shared" si="8"/>
        <v>5921.6018400000012</v>
      </c>
      <c r="L96" s="31">
        <v>144</v>
      </c>
      <c r="M96" s="54">
        <v>0.8</v>
      </c>
      <c r="N96" s="27" t="s">
        <v>27</v>
      </c>
      <c r="O96" s="51">
        <v>7.1</v>
      </c>
      <c r="P96" s="28"/>
      <c r="Q96" s="40"/>
      <c r="R96" s="36" t="s">
        <v>138</v>
      </c>
      <c r="S96" s="37">
        <f t="shared" si="12"/>
        <v>48</v>
      </c>
      <c r="T96" s="38">
        <f t="shared" si="13"/>
        <v>5.6143702609389418E-2</v>
      </c>
      <c r="U96" s="39">
        <f t="shared" si="14"/>
        <v>37.999204058458709</v>
      </c>
    </row>
    <row r="97" spans="1:21" ht="30" x14ac:dyDescent="0.25">
      <c r="A97" s="12">
        <v>96</v>
      </c>
      <c r="B97" s="13">
        <v>1974</v>
      </c>
      <c r="C97" s="13" t="s">
        <v>137</v>
      </c>
      <c r="D97" s="14">
        <v>44670</v>
      </c>
      <c r="E97" s="15">
        <v>57</v>
      </c>
      <c r="F97" s="13">
        <v>71</v>
      </c>
      <c r="G97" s="13">
        <f t="shared" si="9"/>
        <v>223.04650000000001</v>
      </c>
      <c r="H97" s="13">
        <f t="shared" si="10"/>
        <v>0.22304650000000001</v>
      </c>
      <c r="I97" s="13">
        <v>72</v>
      </c>
      <c r="J97" s="13">
        <f t="shared" si="11"/>
        <v>72000</v>
      </c>
      <c r="K97" s="25">
        <f t="shared" si="8"/>
        <v>6423.7392000000009</v>
      </c>
      <c r="L97" s="31">
        <v>148</v>
      </c>
      <c r="M97" s="54">
        <v>0.8</v>
      </c>
      <c r="N97" s="27" t="s">
        <v>27</v>
      </c>
      <c r="O97" s="51">
        <v>7.2</v>
      </c>
      <c r="P97" s="28"/>
      <c r="Q97" s="40"/>
      <c r="R97" s="36" t="s">
        <v>138</v>
      </c>
      <c r="S97" s="37">
        <f t="shared" si="12"/>
        <v>48</v>
      </c>
      <c r="T97" s="38">
        <f t="shared" si="13"/>
        <v>5.7839398123668714E-2</v>
      </c>
      <c r="U97" s="39">
        <f t="shared" si="14"/>
        <v>35.477938808745755</v>
      </c>
    </row>
    <row r="98" spans="1:21" ht="45" x14ac:dyDescent="0.25">
      <c r="A98" s="12">
        <v>97</v>
      </c>
      <c r="B98" s="13">
        <v>1973</v>
      </c>
      <c r="C98" s="13" t="s">
        <v>139</v>
      </c>
      <c r="D98" s="14">
        <v>44676</v>
      </c>
      <c r="E98" s="15">
        <v>108</v>
      </c>
      <c r="F98" s="13">
        <f>108+10</f>
        <v>118</v>
      </c>
      <c r="G98" s="13">
        <f t="shared" si="9"/>
        <v>370.697</v>
      </c>
      <c r="H98" s="13">
        <f t="shared" si="10"/>
        <v>0.370697</v>
      </c>
      <c r="I98" s="13">
        <v>10</v>
      </c>
      <c r="J98" s="13">
        <f t="shared" si="11"/>
        <v>10000</v>
      </c>
      <c r="K98" s="25">
        <f t="shared" si="8"/>
        <v>1482.7880000000002</v>
      </c>
      <c r="L98" s="31">
        <v>136</v>
      </c>
      <c r="M98" s="54">
        <v>1</v>
      </c>
      <c r="N98" s="27" t="s">
        <v>34</v>
      </c>
      <c r="O98" s="51">
        <v>4.8</v>
      </c>
      <c r="P98" s="28"/>
      <c r="Q98" s="40"/>
      <c r="R98" s="36" t="s">
        <v>140</v>
      </c>
      <c r="S98" s="37">
        <f t="shared" si="12"/>
        <v>49</v>
      </c>
      <c r="T98" s="38">
        <f t="shared" si="13"/>
        <v>2.673907819058037E-2</v>
      </c>
      <c r="U98" s="39">
        <f t="shared" si="14"/>
        <v>131.57143566763708</v>
      </c>
    </row>
    <row r="99" spans="1:21" x14ac:dyDescent="0.25">
      <c r="A99" s="12">
        <v>98</v>
      </c>
      <c r="B99" s="13">
        <v>1983</v>
      </c>
      <c r="C99" s="13" t="s">
        <v>141</v>
      </c>
      <c r="D99" s="14">
        <v>44671</v>
      </c>
      <c r="E99" s="15">
        <v>89</v>
      </c>
      <c r="F99" s="13">
        <f>89+9.9+9.9</f>
        <v>108.80000000000001</v>
      </c>
      <c r="G99" s="13">
        <f t="shared" si="9"/>
        <v>341.79520000000008</v>
      </c>
      <c r="H99" s="13">
        <f t="shared" si="10"/>
        <v>0.34179520000000008</v>
      </c>
      <c r="I99" s="13">
        <v>9</v>
      </c>
      <c r="J99" s="13">
        <f t="shared" si="11"/>
        <v>9000</v>
      </c>
      <c r="K99" s="25">
        <f t="shared" si="8"/>
        <v>1230.4627200000004</v>
      </c>
      <c r="L99" s="31">
        <v>149</v>
      </c>
      <c r="M99" s="54">
        <v>0.9</v>
      </c>
      <c r="N99" s="27" t="s">
        <v>27</v>
      </c>
      <c r="O99" s="51">
        <v>8.6999999999999993</v>
      </c>
      <c r="P99" s="28"/>
      <c r="Q99" s="40"/>
      <c r="R99" s="36" t="s">
        <v>142</v>
      </c>
      <c r="S99" s="37">
        <f t="shared" si="12"/>
        <v>39</v>
      </c>
      <c r="T99" s="38">
        <f t="shared" si="13"/>
        <v>2.881233399068691E-2</v>
      </c>
      <c r="U99" s="39">
        <f t="shared" si="14"/>
        <v>128.57801498701807</v>
      </c>
    </row>
    <row r="100" spans="1:21" x14ac:dyDescent="0.25">
      <c r="A100" s="12">
        <v>99</v>
      </c>
      <c r="B100" s="13">
        <v>1983</v>
      </c>
      <c r="C100" s="13" t="s">
        <v>141</v>
      </c>
      <c r="D100" s="14">
        <v>44671</v>
      </c>
      <c r="E100" s="15">
        <v>89</v>
      </c>
      <c r="F100" s="13">
        <v>108</v>
      </c>
      <c r="G100" s="13">
        <f t="shared" si="9"/>
        <v>339.28200000000004</v>
      </c>
      <c r="H100" s="13">
        <f t="shared" si="10"/>
        <v>0.33928200000000003</v>
      </c>
      <c r="I100" s="13">
        <v>11</v>
      </c>
      <c r="J100" s="13">
        <f t="shared" si="11"/>
        <v>11000</v>
      </c>
      <c r="K100" s="25">
        <f t="shared" si="8"/>
        <v>1492.8408000000002</v>
      </c>
      <c r="L100" s="31">
        <v>162</v>
      </c>
      <c r="M100" s="54">
        <v>0.8</v>
      </c>
      <c r="N100" s="27" t="s">
        <v>27</v>
      </c>
      <c r="O100" s="51">
        <v>9.9</v>
      </c>
      <c r="P100" s="28"/>
      <c r="Q100" s="40"/>
      <c r="R100" s="36" t="s">
        <v>142</v>
      </c>
      <c r="S100" s="37">
        <f t="shared" si="12"/>
        <v>39</v>
      </c>
      <c r="T100" s="38">
        <f t="shared" si="13"/>
        <v>3.3768502917982508E-2</v>
      </c>
      <c r="U100" s="39">
        <f t="shared" si="14"/>
        <v>103.98275967487774</v>
      </c>
    </row>
    <row r="101" spans="1:21" x14ac:dyDescent="0.25">
      <c r="A101" s="12">
        <v>100</v>
      </c>
      <c r="B101" s="13">
        <v>1983</v>
      </c>
      <c r="C101" s="13" t="s">
        <v>141</v>
      </c>
      <c r="D101" s="14">
        <v>44671</v>
      </c>
      <c r="E101" s="15">
        <v>89</v>
      </c>
      <c r="F101" s="13">
        <v>108.4</v>
      </c>
      <c r="G101" s="13">
        <f t="shared" si="9"/>
        <v>340.53860000000003</v>
      </c>
      <c r="H101" s="13">
        <f t="shared" si="10"/>
        <v>0.34053860000000002</v>
      </c>
      <c r="I101" s="13">
        <v>10</v>
      </c>
      <c r="J101" s="13">
        <f t="shared" si="11"/>
        <v>10000</v>
      </c>
      <c r="K101" s="25">
        <f t="shared" si="8"/>
        <v>1362.1544000000001</v>
      </c>
      <c r="L101" s="31">
        <v>160</v>
      </c>
      <c r="M101" s="54">
        <v>0.7</v>
      </c>
      <c r="N101" s="27" t="s">
        <v>27</v>
      </c>
      <c r="O101" s="51">
        <v>9.9</v>
      </c>
      <c r="P101" s="28"/>
      <c r="Q101" s="40"/>
      <c r="R101" s="36" t="s">
        <v>142</v>
      </c>
      <c r="S101" s="37">
        <f t="shared" si="12"/>
        <v>39</v>
      </c>
      <c r="T101" s="38">
        <f t="shared" si="13"/>
        <v>3.1419443484059471E-2</v>
      </c>
      <c r="U101" s="39">
        <f t="shared" si="14"/>
        <v>114.67279626553305</v>
      </c>
    </row>
    <row r="102" spans="1:21" x14ac:dyDescent="0.25">
      <c r="A102" s="12">
        <v>101</v>
      </c>
      <c r="B102" s="13">
        <v>1983</v>
      </c>
      <c r="C102" s="13" t="s">
        <v>141</v>
      </c>
      <c r="D102" s="14">
        <v>44680</v>
      </c>
      <c r="E102" s="15">
        <v>89</v>
      </c>
      <c r="F102" s="13">
        <f>89+8.1+8.1</f>
        <v>105.19999999999999</v>
      </c>
      <c r="G102" s="13">
        <f t="shared" si="9"/>
        <v>330.48579999999998</v>
      </c>
      <c r="H102" s="13">
        <f t="shared" si="10"/>
        <v>0.3304858</v>
      </c>
      <c r="I102" s="13">
        <v>56</v>
      </c>
      <c r="J102" s="13">
        <f t="shared" si="11"/>
        <v>56000</v>
      </c>
      <c r="K102" s="25">
        <f t="shared" si="8"/>
        <v>7402.8819199999998</v>
      </c>
      <c r="L102" s="31">
        <v>140</v>
      </c>
      <c r="M102" s="54">
        <v>0.8</v>
      </c>
      <c r="N102" s="27" t="s">
        <v>27</v>
      </c>
      <c r="O102" s="51">
        <v>6.6</v>
      </c>
      <c r="P102" s="28"/>
      <c r="Q102" s="40"/>
      <c r="R102" s="36" t="s">
        <v>142</v>
      </c>
      <c r="S102" s="37">
        <f t="shared" si="12"/>
        <v>39</v>
      </c>
      <c r="T102" s="38">
        <f t="shared" si="13"/>
        <v>7.4824618074807336E-2</v>
      </c>
      <c r="U102" s="39">
        <f t="shared" si="14"/>
        <v>25.528411390955611</v>
      </c>
    </row>
    <row r="103" spans="1:21" x14ac:dyDescent="0.25">
      <c r="A103" s="12">
        <v>102</v>
      </c>
      <c r="B103" s="13">
        <v>1983</v>
      </c>
      <c r="C103" s="13" t="s">
        <v>141</v>
      </c>
      <c r="D103" s="14">
        <v>44680</v>
      </c>
      <c r="E103" s="15">
        <v>89</v>
      </c>
      <c r="F103" s="13">
        <v>105</v>
      </c>
      <c r="G103" s="13">
        <f t="shared" si="9"/>
        <v>329.85750000000002</v>
      </c>
      <c r="H103" s="13">
        <f t="shared" si="10"/>
        <v>0.32985750000000003</v>
      </c>
      <c r="I103" s="13">
        <v>77</v>
      </c>
      <c r="J103" s="13">
        <f t="shared" si="11"/>
        <v>77000</v>
      </c>
      <c r="K103" s="25">
        <f t="shared" si="8"/>
        <v>10159.611000000001</v>
      </c>
      <c r="L103" s="31">
        <v>156</v>
      </c>
      <c r="M103" s="54">
        <v>0.8</v>
      </c>
      <c r="N103" s="27" t="s">
        <v>27</v>
      </c>
      <c r="O103" s="51">
        <v>6.6</v>
      </c>
      <c r="P103" s="28"/>
      <c r="Q103" s="40"/>
      <c r="R103" s="36" t="s">
        <v>142</v>
      </c>
      <c r="S103" s="37">
        <f t="shared" si="12"/>
        <v>39</v>
      </c>
      <c r="T103" s="38">
        <f t="shared" si="13"/>
        <v>8.2941304766408583E-2</v>
      </c>
      <c r="U103" s="39">
        <f t="shared" si="14"/>
        <v>19.213621679819283</v>
      </c>
    </row>
    <row r="104" spans="1:21" x14ac:dyDescent="0.25">
      <c r="A104" s="12">
        <v>103</v>
      </c>
      <c r="B104" s="13">
        <v>1983</v>
      </c>
      <c r="C104" s="13" t="s">
        <v>141</v>
      </c>
      <c r="D104" s="14">
        <v>44687</v>
      </c>
      <c r="E104" s="15">
        <v>89</v>
      </c>
      <c r="F104" s="13">
        <f>109</f>
        <v>109</v>
      </c>
      <c r="G104" s="13">
        <f t="shared" si="9"/>
        <v>342.42350000000005</v>
      </c>
      <c r="H104" s="13">
        <f t="shared" si="10"/>
        <v>0.34242350000000005</v>
      </c>
      <c r="I104" s="13">
        <v>99</v>
      </c>
      <c r="J104" s="13">
        <f t="shared" si="11"/>
        <v>99000</v>
      </c>
      <c r="K104" s="25">
        <f t="shared" si="8"/>
        <v>13559.970600000002</v>
      </c>
      <c r="L104" s="31">
        <v>160</v>
      </c>
      <c r="M104" s="54">
        <v>1.5</v>
      </c>
      <c r="N104" s="27" t="s">
        <v>27</v>
      </c>
      <c r="O104" s="51">
        <v>9.9</v>
      </c>
      <c r="P104" s="28"/>
      <c r="Q104" s="40"/>
      <c r="R104" s="36" t="s">
        <v>142</v>
      </c>
      <c r="S104" s="37">
        <f t="shared" si="12"/>
        <v>39</v>
      </c>
      <c r="T104" s="38">
        <f t="shared" si="13"/>
        <v>9.0343919134422079E-2</v>
      </c>
      <c r="U104" s="39">
        <f t="shared" si="14"/>
        <v>14.443704718170205</v>
      </c>
    </row>
    <row r="105" spans="1:21" ht="30" x14ac:dyDescent="0.25">
      <c r="A105" s="42">
        <v>104</v>
      </c>
      <c r="B105" s="43">
        <v>1962</v>
      </c>
      <c r="C105" s="43" t="s">
        <v>143</v>
      </c>
      <c r="D105" s="44">
        <v>44669</v>
      </c>
      <c r="E105" s="45">
        <v>219</v>
      </c>
      <c r="F105" s="43">
        <f>219+8.9+8.9</f>
        <v>236.8</v>
      </c>
      <c r="G105" s="43">
        <f t="shared" si="9"/>
        <v>743.9072000000001</v>
      </c>
      <c r="H105" s="43">
        <f t="shared" si="10"/>
        <v>0.7439072000000001</v>
      </c>
      <c r="I105" s="43">
        <v>5</v>
      </c>
      <c r="J105" s="43">
        <f t="shared" si="11"/>
        <v>5000</v>
      </c>
      <c r="K105" s="46">
        <f t="shared" si="8"/>
        <v>1487.8144000000002</v>
      </c>
      <c r="L105" s="47">
        <v>141</v>
      </c>
      <c r="M105" s="55">
        <v>1</v>
      </c>
      <c r="N105" s="27" t="s">
        <v>27</v>
      </c>
      <c r="O105" s="52">
        <v>8.1999999999999993</v>
      </c>
      <c r="P105" s="48"/>
      <c r="Q105" s="49"/>
      <c r="R105" s="36" t="s">
        <v>144</v>
      </c>
      <c r="S105" s="37">
        <f t="shared" si="12"/>
        <v>60</v>
      </c>
      <c r="T105" s="38">
        <f t="shared" si="13"/>
        <v>2.1893315488711314E-2</v>
      </c>
      <c r="U105" s="39">
        <f t="shared" si="14"/>
        <v>160.53826154343267</v>
      </c>
    </row>
  </sheetData>
  <sortState ref="A2:U105">
    <sortCondition ref="Q4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SGEiMO19</dc:creator>
  <cp:lastModifiedBy>Пользователь</cp:lastModifiedBy>
  <dcterms:created xsi:type="dcterms:W3CDTF">2022-06-30T11:09:00Z</dcterms:created>
  <dcterms:modified xsi:type="dcterms:W3CDTF">2023-03-20T09:55:57Z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088965C70BAA47C2B0DD0D2BA956B3B0</vt:lpwstr>
  </property>
  <property fmtid="{D5CDD505-2E9C-101B-9397-08002B2CF9AE}" pid="3" name="KSOProductBuildVer">
    <vt:lpwstr>1049-11.2.0.11341</vt:lpwstr>
  </property>
</Properties>
</file>