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R1\Downloads\"/>
    </mc:Choice>
  </mc:AlternateContent>
  <bookViews>
    <workbookView xWindow="0" yWindow="0" windowWidth="20490" windowHeight="7755" activeTab="1"/>
  </bookViews>
  <sheets>
    <sheet name="ESTUDIOS" sheetId="2" r:id="rId1"/>
    <sheet name="CLIENTES" sheetId="1" r:id="rId2"/>
    <sheet name="RESUMEN ESTADÍSTICO" sheetId="3" r:id="rId3"/>
  </sheets>
  <definedNames>
    <definedName name="_xlnm.Print_Area" localSheetId="1">CLIENTES!$A$1:$X$26</definedName>
    <definedName name="_xlnm.Print_Titles" localSheetId="1">CLIENTES!$5:$5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" l="1"/>
  <c r="F7" i="3"/>
  <c r="F6" i="3"/>
  <c r="F5" i="3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6" i="1"/>
  <c r="F10" i="3" l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6" i="1"/>
  <c r="Q6" i="1" s="1"/>
  <c r="O7" i="1"/>
  <c r="W7" i="1" s="1"/>
  <c r="O8" i="1"/>
  <c r="W8" i="1" s="1"/>
  <c r="O9" i="1"/>
  <c r="W9" i="1" s="1"/>
  <c r="O10" i="1"/>
  <c r="W10" i="1" s="1"/>
  <c r="O11" i="1"/>
  <c r="W11" i="1" s="1"/>
  <c r="O12" i="1"/>
  <c r="W12" i="1" s="1"/>
  <c r="O13" i="1"/>
  <c r="W13" i="1" s="1"/>
  <c r="O14" i="1"/>
  <c r="W14" i="1" s="1"/>
  <c r="O15" i="1"/>
  <c r="W15" i="1" s="1"/>
  <c r="O16" i="1"/>
  <c r="W16" i="1" s="1"/>
  <c r="O17" i="1"/>
  <c r="W17" i="1" s="1"/>
  <c r="O18" i="1"/>
  <c r="W18" i="1" s="1"/>
  <c r="O19" i="1"/>
  <c r="W19" i="1" s="1"/>
  <c r="O20" i="1"/>
  <c r="W20" i="1" s="1"/>
  <c r="O21" i="1"/>
  <c r="W21" i="1" s="1"/>
  <c r="O22" i="1"/>
  <c r="W22" i="1" s="1"/>
  <c r="O23" i="1"/>
  <c r="W23" i="1" s="1"/>
  <c r="O24" i="1"/>
  <c r="W24" i="1" s="1"/>
  <c r="O25" i="1"/>
  <c r="W25" i="1" s="1"/>
  <c r="O26" i="1"/>
  <c r="W26" i="1" s="1"/>
  <c r="O6" i="1"/>
  <c r="W6" i="1" s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6" i="1"/>
  <c r="J7" i="1"/>
  <c r="M7" i="1" s="1"/>
  <c r="J8" i="1"/>
  <c r="M8" i="1" s="1"/>
  <c r="J9" i="1"/>
  <c r="M9" i="1" s="1"/>
  <c r="J10" i="1"/>
  <c r="M10" i="1" s="1"/>
  <c r="J11" i="1"/>
  <c r="M11" i="1" s="1"/>
  <c r="J12" i="1"/>
  <c r="M12" i="1" s="1"/>
  <c r="J13" i="1"/>
  <c r="M13" i="1" s="1"/>
  <c r="J14" i="1"/>
  <c r="M14" i="1" s="1"/>
  <c r="J15" i="1"/>
  <c r="M15" i="1" s="1"/>
  <c r="J16" i="1"/>
  <c r="M16" i="1" s="1"/>
  <c r="J17" i="1"/>
  <c r="M17" i="1" s="1"/>
  <c r="J18" i="1"/>
  <c r="M18" i="1" s="1"/>
  <c r="J19" i="1"/>
  <c r="M19" i="1" s="1"/>
  <c r="J20" i="1"/>
  <c r="M20" i="1" s="1"/>
  <c r="J21" i="1"/>
  <c r="M21" i="1" s="1"/>
  <c r="J22" i="1"/>
  <c r="M22" i="1" s="1"/>
  <c r="J23" i="1"/>
  <c r="M23" i="1" s="1"/>
  <c r="J24" i="1"/>
  <c r="M24" i="1" s="1"/>
  <c r="J25" i="1"/>
  <c r="M25" i="1" s="1"/>
  <c r="J26" i="1"/>
  <c r="M26" i="1" s="1"/>
  <c r="J6" i="1"/>
  <c r="M6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6" i="1"/>
  <c r="D8" i="1"/>
  <c r="D16" i="1"/>
  <c r="D24" i="1"/>
  <c r="C7" i="1"/>
  <c r="D7" i="1" s="1"/>
  <c r="C8" i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C25" i="1"/>
  <c r="D25" i="1" s="1"/>
  <c r="C26" i="1"/>
  <c r="D26" i="1" s="1"/>
  <c r="C6" i="1"/>
  <c r="D6" i="1" s="1"/>
  <c r="H3" i="1"/>
  <c r="L6" i="1" s="1"/>
  <c r="F11" i="3" l="1"/>
  <c r="L22" i="1"/>
  <c r="L18" i="1"/>
  <c r="L14" i="1"/>
  <c r="L26" i="1"/>
  <c r="L10" i="1"/>
  <c r="L25" i="1"/>
  <c r="L21" i="1"/>
  <c r="L17" i="1"/>
  <c r="L13" i="1"/>
  <c r="L9" i="1"/>
  <c r="L24" i="1"/>
  <c r="L20" i="1"/>
  <c r="L16" i="1"/>
  <c r="L12" i="1"/>
  <c r="L8" i="1"/>
  <c r="L23" i="1"/>
  <c r="L19" i="1"/>
  <c r="L15" i="1"/>
  <c r="L11" i="1"/>
  <c r="L7" i="1"/>
  <c r="F13" i="3" l="1"/>
  <c r="F9" i="3"/>
  <c r="F8" i="3"/>
</calcChain>
</file>

<file path=xl/sharedStrings.xml><?xml version="1.0" encoding="utf-8"?>
<sst xmlns="http://schemas.openxmlformats.org/spreadsheetml/2006/main" count="181" uniqueCount="163">
  <si>
    <t>PROMEDIO DE EDAD DE LOS CLIENTES DE TORRENT:</t>
  </si>
  <si>
    <t>Nº DE  CLIENTES NACIERON EN 1960 Y SON DE CALLOSA DE SEGURA:</t>
  </si>
  <si>
    <t>EDAD DEL CLIENTE MÁS JOVEN:</t>
  </si>
  <si>
    <t>EDAD DEL CLIENTE MÁS VIEJO:</t>
  </si>
  <si>
    <t>Nº CLIENTES QUE NO TIENEN TELÉFONO:</t>
  </si>
  <si>
    <t>Nº DE CLIENTES  DE ALICANTE:</t>
  </si>
  <si>
    <t>731694465</t>
  </si>
  <si>
    <t>San Francisco de Asís  Nº 75  Piso 1º</t>
  </si>
  <si>
    <t>Torrent</t>
  </si>
  <si>
    <t>LOPEZ GREGORI</t>
  </si>
  <si>
    <t>GUSTAVO A.</t>
  </si>
  <si>
    <t>72305048/999S</t>
  </si>
  <si>
    <t>W-6, Calle  Nº 68  Piso 4º</t>
  </si>
  <si>
    <t>La villa Joiosa</t>
  </si>
  <si>
    <t>MOTA RODRIGUEZ</t>
  </si>
  <si>
    <t>VICENTE</t>
  </si>
  <si>
    <t>50813075/654J</t>
  </si>
  <si>
    <t>418154067</t>
  </si>
  <si>
    <t>La Playa  Nº 45  Piso 2º</t>
  </si>
  <si>
    <t>Benidorm</t>
  </si>
  <si>
    <t>LEON LOPEZ</t>
  </si>
  <si>
    <t>JUAN FRANCISCO</t>
  </si>
  <si>
    <t>56352127/876J</t>
  </si>
  <si>
    <t>453316952</t>
  </si>
  <si>
    <t>Rodríguez Sampedro  Nº 55  Piso 6º</t>
  </si>
  <si>
    <t>Aspe</t>
  </si>
  <si>
    <t>MARTINEZ GARCIA</t>
  </si>
  <si>
    <t>TOMAS</t>
  </si>
  <si>
    <t>55383516/127A</t>
  </si>
  <si>
    <t>W-7, Calle  Nº 72  Piso 1º</t>
  </si>
  <si>
    <t>Alicante</t>
  </si>
  <si>
    <t>MATE MACHADO</t>
  </si>
  <si>
    <t>JUAN DAVID</t>
  </si>
  <si>
    <t>42650690/555Y</t>
  </si>
  <si>
    <t>778219292</t>
  </si>
  <si>
    <t>Federico García Lorca  Nº 84  Piso 5º</t>
  </si>
  <si>
    <t>SAMPER IVORRA</t>
  </si>
  <si>
    <t>FRANCISCO MANUEL</t>
  </si>
  <si>
    <t>93568410/600H</t>
  </si>
  <si>
    <t>494441696</t>
  </si>
  <si>
    <t>Fernando Poo  Nº 77  Piso 2º</t>
  </si>
  <si>
    <t>MAESTRE AMOROS</t>
  </si>
  <si>
    <t>JUAN ANTONIO</t>
  </si>
  <si>
    <t>516217583</t>
  </si>
  <si>
    <t>Río Sil  Nº 81  Piso 5º</t>
  </si>
  <si>
    <t>RAMON BREZMES</t>
  </si>
  <si>
    <t>ICIAR</t>
  </si>
  <si>
    <t>82576360/367A</t>
  </si>
  <si>
    <t>596474298</t>
  </si>
  <si>
    <t>Tirso de Molina  Nº 81  Piso 2º</t>
  </si>
  <si>
    <t>SORIANO FERRANDIZ</t>
  </si>
  <si>
    <t>MIGUEL ANGEL</t>
  </si>
  <si>
    <t>3581208/200G</t>
  </si>
  <si>
    <t>681275921</t>
  </si>
  <si>
    <t>Ventura A. Sala  Nº 24  Piso 3º</t>
  </si>
  <si>
    <t>ESPI SIMARRO</t>
  </si>
  <si>
    <t>EDUARDO</t>
  </si>
  <si>
    <t>92185057/345T</t>
  </si>
  <si>
    <t>Adolfo Vega  Nº 68  Piso 6º</t>
  </si>
  <si>
    <t>BAEZA PUIG</t>
  </si>
  <si>
    <t>ROBERTO</t>
  </si>
  <si>
    <t>70591843/879D</t>
  </si>
  <si>
    <t>253070881</t>
  </si>
  <si>
    <t>W-9, Calle  Nº 29  Piso 4º</t>
  </si>
  <si>
    <t>MARQUEZ MOLTO</t>
  </si>
  <si>
    <t>VICTOR MANUEL</t>
  </si>
  <si>
    <t>297412286</t>
  </si>
  <si>
    <t>Sanz Crespo  Nº 89  Piso 3º</t>
  </si>
  <si>
    <t>GONZALEZ LEON</t>
  </si>
  <si>
    <t>FELIPE</t>
  </si>
  <si>
    <t>46908347/500G</t>
  </si>
  <si>
    <t>847269618</t>
  </si>
  <si>
    <t>Santa Primitiva  Nº 15  Piso 3º</t>
  </si>
  <si>
    <t>Callosa de Segura</t>
  </si>
  <si>
    <t>VERA GARCIA</t>
  </si>
  <si>
    <t>MIGUEL</t>
  </si>
  <si>
    <t>92430112/440J</t>
  </si>
  <si>
    <t>Los Calafates  Nº 43  Piso 4º</t>
  </si>
  <si>
    <t>SANZ SANZ</t>
  </si>
  <si>
    <t>ANTONIO</t>
  </si>
  <si>
    <t>77276801/222B</t>
  </si>
  <si>
    <t>599738342</t>
  </si>
  <si>
    <t>La Cruz  Nº 65  Piso 3º</t>
  </si>
  <si>
    <t>SOGORB SANTACRUZ</t>
  </si>
  <si>
    <t>ANGEL</t>
  </si>
  <si>
    <t>56612481/111A</t>
  </si>
  <si>
    <t>Granados  Nº 4  Piso 2º</t>
  </si>
  <si>
    <t>SEGURA CERDAN</t>
  </si>
  <si>
    <t>América del Sur  Nº 25  Piso 6º</t>
  </si>
  <si>
    <t>MOLINES MARCO</t>
  </si>
  <si>
    <t>24336082/4000D</t>
  </si>
  <si>
    <t>314233052</t>
  </si>
  <si>
    <t>Perlora  Nº 19  Piso 4º</t>
  </si>
  <si>
    <t>MOLTO AMOROS</t>
  </si>
  <si>
    <t>DANIEL</t>
  </si>
  <si>
    <t>25798735/300C</t>
  </si>
  <si>
    <t>585867495</t>
  </si>
  <si>
    <t>Evaristo Valle  Nº 56  Piso 5º</t>
  </si>
  <si>
    <t>MARTINEZ ALMODOVAR</t>
  </si>
  <si>
    <t>47773348/2000B</t>
  </si>
  <si>
    <t>683613152</t>
  </si>
  <si>
    <t>Alvarez Garaya  Nº 47  Piso 2º</t>
  </si>
  <si>
    <t>POBLET RUIZ</t>
  </si>
  <si>
    <t>PLACIDO</t>
  </si>
  <si>
    <t>8020700/100A</t>
  </si>
  <si>
    <t>TELÉFONO</t>
  </si>
  <si>
    <t>DIRECCIÓN</t>
  </si>
  <si>
    <t>CIUDAD</t>
  </si>
  <si>
    <t>ESTUDIOS DEL CLIENTE</t>
  </si>
  <si>
    <t>CODIGO ESTUDIOS</t>
  </si>
  <si>
    <t>EDAD</t>
  </si>
  <si>
    <t>MES DE NACIMIENTO</t>
  </si>
  <si>
    <t>FECHA NACIMIENTO</t>
  </si>
  <si>
    <t>NOMBRE COMPLETO</t>
  </si>
  <si>
    <t>APELLIDOS</t>
  </si>
  <si>
    <t>NOMBRE</t>
  </si>
  <si>
    <t>DNI</t>
  </si>
  <si>
    <t>Nº</t>
  </si>
  <si>
    <t>FECHA ACTUAL</t>
  </si>
  <si>
    <t>CODIGO</t>
  </si>
  <si>
    <t>CARRERA</t>
  </si>
  <si>
    <t>Arquitecto</t>
  </si>
  <si>
    <t>Arquitecto Técnico</t>
  </si>
  <si>
    <t>Ciencias Sociales y Jurídicas</t>
  </si>
  <si>
    <t>Diplomado en Ciencias Empresariales</t>
  </si>
  <si>
    <t>Diplomado en Gestión y Administración Pública</t>
  </si>
  <si>
    <t>Diplomado en Relaciones Laborales</t>
  </si>
  <si>
    <t>Diplomado en Trabajo Social</t>
  </si>
  <si>
    <t>Estudios basicos: EGB</t>
  </si>
  <si>
    <t>Estudios de grado medio: COU</t>
  </si>
  <si>
    <t>Ingeniero en Informática</t>
  </si>
  <si>
    <t>Ingeniero Químico</t>
  </si>
  <si>
    <t>Ingeniero Técnico de Telecomunicación: Sonido e Imagen</t>
  </si>
  <si>
    <t>Ingeniero Técnico en Informática de Gestión</t>
  </si>
  <si>
    <t>Ingeniero Técnico en Informática de Sistemas</t>
  </si>
  <si>
    <t>Ingeniero Técnico en Obras Públicas</t>
  </si>
  <si>
    <t>Licenciado en Administración y Dirección de Empresas</t>
  </si>
  <si>
    <t>Licenciado en Derecho</t>
  </si>
  <si>
    <t>Licenciado en Economía</t>
  </si>
  <si>
    <t>Licenciado en Matemáticas</t>
  </si>
  <si>
    <t>Licenciado en Publicidad y Relaciones Públicas</t>
  </si>
  <si>
    <t>Licenciado en Química</t>
  </si>
  <si>
    <t>Licenciado en Sociología</t>
  </si>
  <si>
    <t>Sin estudios</t>
  </si>
  <si>
    <t>CODIGO CLIENTE</t>
  </si>
  <si>
    <t>3637692/1320R</t>
  </si>
  <si>
    <t>56497448/9487F</t>
  </si>
  <si>
    <t>12320863/2601E</t>
  </si>
  <si>
    <t>DNI Y CODIGO CLIENTE</t>
  </si>
  <si>
    <t>CLIENTE VIP</t>
  </si>
  <si>
    <t>Fecha CONTRATOS</t>
  </si>
  <si>
    <t>TRIMESTRE</t>
  </si>
  <si>
    <t>AÑO CONTRATO</t>
  </si>
  <si>
    <t>TIPO</t>
  </si>
  <si>
    <t>RESUMEN ESTADÍSTICO</t>
  </si>
  <si>
    <t xml:space="preserve">Nº CLIENTES </t>
  </si>
  <si>
    <t>CUOTA BÁSICA</t>
  </si>
  <si>
    <t>DIA DE LA SEMANA QUE NACIO</t>
  </si>
  <si>
    <t>CUOTA TOTAL CON DESCUENTO</t>
  </si>
  <si>
    <t>TOTAL DE LA CUOTA TOTAL DE LOS CLIENTES DE ASPE</t>
  </si>
  <si>
    <t>Nº CLIENTES INGENIEROS EN QUÍMICA</t>
  </si>
  <si>
    <t>MES CONTRATO</t>
  </si>
  <si>
    <t>AÑO NACIMIENTO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</si>
</sst>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  <family val="2"/>
    </font>
    <font>
      <b/>
      <sz val="12"/>
      <name val="Calibri"/>
      <family val="2"/>
    </font>
    <font>
      <b/>
      <sz val="24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ck">
        <color rgb="FF00B050"/>
      </left>
      <right style="thick">
        <color rgb="FF00B050"/>
      </right>
      <top style="hair">
        <color rgb="FF00B050"/>
      </top>
      <bottom style="thick">
        <color rgb="FF00B050"/>
      </bottom>
      <diagonal/>
    </border>
    <border>
      <left/>
      <right/>
      <top/>
      <bottom style="thick">
        <color rgb="FF00B050"/>
      </bottom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 style="hair">
        <color rgb="FF00B050"/>
      </top>
      <bottom style="hair">
        <color rgb="FF00B050"/>
      </bottom>
      <diagonal/>
    </border>
    <border>
      <left style="thick">
        <color rgb="FF00B050"/>
      </left>
      <right/>
      <top/>
      <bottom/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hair">
        <color rgb="FF00B050"/>
      </bottom>
      <diagonal/>
    </border>
    <border>
      <left/>
      <right/>
      <top style="thick">
        <color rgb="FF00B050"/>
      </top>
      <bottom/>
      <diagonal/>
    </border>
    <border>
      <left style="thick">
        <color rgb="FF00B050"/>
      </left>
      <right/>
      <top style="thick">
        <color rgb="FF00B050"/>
      </top>
      <bottom/>
      <diagonal/>
    </border>
    <border>
      <left/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  <border>
      <left style="thick">
        <color rgb="FF00B050"/>
      </left>
      <right style="thick">
        <color rgb="FF00B050"/>
      </right>
      <top style="hair">
        <color rgb="FF00B050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ck">
        <color theme="4"/>
      </top>
      <bottom style="thick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Border="1"/>
    <xf numFmtId="0" fontId="0" fillId="0" borderId="2" xfId="0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0" xfId="0" applyBorder="1" applyAlignment="1"/>
    <xf numFmtId="0" fontId="0" fillId="0" borderId="5" xfId="0" applyBorder="1" applyAlignment="1"/>
    <xf numFmtId="0" fontId="0" fillId="0" borderId="7" xfId="0" applyBorder="1" applyAlignment="1">
      <alignment horizontal="right"/>
    </xf>
    <xf numFmtId="0" fontId="0" fillId="0" borderId="7" xfId="0" applyBorder="1" applyAlignment="1"/>
    <xf numFmtId="0" fontId="0" fillId="0" borderId="8" xfId="0" applyBorder="1" applyAlignment="1"/>
    <xf numFmtId="0" fontId="0" fillId="0" borderId="0" xfId="0" applyAlignment="1">
      <alignment horizontal="right"/>
    </xf>
    <xf numFmtId="0" fontId="2" fillId="3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4" fillId="4" borderId="0" xfId="3" applyNumberFormat="1" applyFont="1" applyFill="1" applyBorder="1" applyAlignment="1">
      <alignment wrapText="1"/>
    </xf>
    <xf numFmtId="0" fontId="0" fillId="5" borderId="0" xfId="0" applyFont="1" applyFill="1" applyBorder="1" applyAlignment="1">
      <alignment horizontal="center" vertical="center"/>
    </xf>
    <xf numFmtId="0" fontId="4" fillId="5" borderId="0" xfId="3" applyNumberFormat="1" applyFont="1" applyFill="1" applyBorder="1" applyAlignment="1">
      <alignment wrapText="1"/>
    </xf>
    <xf numFmtId="0" fontId="0" fillId="0" borderId="6" xfId="0" applyBorder="1"/>
    <xf numFmtId="0" fontId="0" fillId="0" borderId="4" xfId="0" applyBorder="1"/>
    <xf numFmtId="0" fontId="0" fillId="0" borderId="11" xfId="0" applyBorder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4" fillId="2" borderId="14" xfId="3" applyNumberFormat="1" applyFont="1" applyFill="1" applyBorder="1" applyAlignment="1">
      <alignment horizontal="center" vertical="center" wrapText="1"/>
    </xf>
    <xf numFmtId="164" fontId="4" fillId="2" borderId="14" xfId="1" applyNumberFormat="1" applyFont="1" applyFill="1" applyBorder="1" applyAlignment="1">
      <alignment horizontal="left" vertical="center" wrapText="1"/>
    </xf>
    <xf numFmtId="0" fontId="4" fillId="2" borderId="14" xfId="1" applyNumberFormat="1" applyFont="1" applyFill="1" applyBorder="1" applyAlignment="1">
      <alignment horizontal="left" vertical="center" wrapText="1"/>
    </xf>
    <xf numFmtId="0" fontId="4" fillId="2" borderId="14" xfId="3" applyNumberFormat="1" applyFont="1" applyFill="1" applyBorder="1" applyAlignment="1">
      <alignment horizontal="left" vertical="center" wrapText="1"/>
    </xf>
    <xf numFmtId="14" fontId="4" fillId="2" borderId="14" xfId="3" applyNumberFormat="1" applyFont="1" applyFill="1" applyBorder="1" applyAlignment="1">
      <alignment horizontal="left" vertical="center" wrapText="1"/>
    </xf>
    <xf numFmtId="14" fontId="0" fillId="2" borderId="14" xfId="0" applyNumberFormat="1" applyFont="1" applyFill="1" applyBorder="1"/>
    <xf numFmtId="0" fontId="0" fillId="2" borderId="15" xfId="0" applyFont="1" applyFill="1" applyBorder="1" applyAlignment="1">
      <alignment horizontal="center"/>
    </xf>
    <xf numFmtId="0" fontId="4" fillId="0" borderId="12" xfId="3" applyNumberFormat="1" applyFont="1" applyBorder="1" applyAlignment="1">
      <alignment horizontal="center" vertical="center" wrapText="1"/>
    </xf>
    <xf numFmtId="164" fontId="4" fillId="0" borderId="12" xfId="1" applyNumberFormat="1" applyFont="1" applyBorder="1" applyAlignment="1">
      <alignment horizontal="left" vertical="center" wrapText="1"/>
    </xf>
    <xf numFmtId="0" fontId="4" fillId="0" borderId="12" xfId="3" applyNumberFormat="1" applyFont="1" applyBorder="1" applyAlignment="1">
      <alignment horizontal="left" vertical="center" wrapText="1"/>
    </xf>
    <xf numFmtId="14" fontId="4" fillId="0" borderId="12" xfId="3" applyNumberFormat="1" applyFont="1" applyBorder="1" applyAlignment="1">
      <alignment horizontal="left" vertical="center" wrapText="1"/>
    </xf>
    <xf numFmtId="14" fontId="0" fillId="0" borderId="12" xfId="0" applyNumberFormat="1" applyFont="1" applyBorder="1"/>
    <xf numFmtId="0" fontId="4" fillId="2" borderId="12" xfId="3" applyNumberFormat="1" applyFont="1" applyFill="1" applyBorder="1" applyAlignment="1">
      <alignment horizontal="center" vertical="center" wrapText="1"/>
    </xf>
    <xf numFmtId="164" fontId="4" fillId="2" borderId="12" xfId="1" applyNumberFormat="1" applyFont="1" applyFill="1" applyBorder="1" applyAlignment="1">
      <alignment horizontal="left" vertical="center" wrapText="1"/>
    </xf>
    <xf numFmtId="0" fontId="4" fillId="2" borderId="12" xfId="3" applyNumberFormat="1" applyFont="1" applyFill="1" applyBorder="1" applyAlignment="1">
      <alignment horizontal="left" vertical="center" wrapText="1"/>
    </xf>
    <xf numFmtId="14" fontId="4" fillId="2" borderId="12" xfId="3" applyNumberFormat="1" applyFont="1" applyFill="1" applyBorder="1" applyAlignment="1">
      <alignment horizontal="left" vertical="center" wrapText="1"/>
    </xf>
    <xf numFmtId="14" fontId="0" fillId="2" borderId="12" xfId="0" applyNumberFormat="1" applyFont="1" applyFill="1" applyBorder="1"/>
    <xf numFmtId="0" fontId="4" fillId="2" borderId="16" xfId="3" applyNumberFormat="1" applyFont="1" applyFill="1" applyBorder="1" applyAlignment="1">
      <alignment horizontal="center" vertical="center" wrapText="1"/>
    </xf>
    <xf numFmtId="164" fontId="4" fillId="2" borderId="16" xfId="1" applyNumberFormat="1" applyFont="1" applyFill="1" applyBorder="1" applyAlignment="1">
      <alignment horizontal="left" vertical="center" wrapText="1"/>
    </xf>
    <xf numFmtId="0" fontId="4" fillId="2" borderId="16" xfId="3" applyNumberFormat="1" applyFont="1" applyFill="1" applyBorder="1" applyAlignment="1">
      <alignment horizontal="left" vertical="center" wrapText="1"/>
    </xf>
    <xf numFmtId="14" fontId="4" fillId="2" borderId="16" xfId="3" applyNumberFormat="1" applyFont="1" applyFill="1" applyBorder="1" applyAlignment="1">
      <alignment horizontal="left" vertical="center" wrapText="1"/>
    </xf>
    <xf numFmtId="14" fontId="0" fillId="2" borderId="16" xfId="0" applyNumberFormat="1" applyFont="1" applyFill="1" applyBorder="1"/>
    <xf numFmtId="0" fontId="5" fillId="6" borderId="12" xfId="3" applyNumberFormat="1" applyFont="1" applyFill="1" applyBorder="1" applyAlignment="1">
      <alignment horizontal="center" vertical="center" wrapText="1"/>
    </xf>
    <xf numFmtId="0" fontId="5" fillId="6" borderId="13" xfId="3" applyNumberFormat="1" applyFont="1" applyFill="1" applyBorder="1" applyAlignment="1">
      <alignment horizontal="center" vertical="center" wrapText="1"/>
    </xf>
    <xf numFmtId="0" fontId="7" fillId="0" borderId="0" xfId="0" applyFont="1"/>
    <xf numFmtId="44" fontId="7" fillId="7" borderId="0" xfId="2" applyFont="1" applyFill="1"/>
    <xf numFmtId="2" fontId="4" fillId="2" borderId="14" xfId="3" applyNumberFormat="1" applyFont="1" applyFill="1" applyBorder="1" applyAlignment="1">
      <alignment horizontal="center" vertical="center" wrapText="1"/>
    </xf>
    <xf numFmtId="0" fontId="0" fillId="2" borderId="14" xfId="0" applyNumberFormat="1" applyFont="1" applyFill="1" applyBorder="1"/>
    <xf numFmtId="9" fontId="0" fillId="0" borderId="0" xfId="4" applyFont="1"/>
    <xf numFmtId="9" fontId="0" fillId="0" borderId="0" xfId="4" applyFont="1" applyBorder="1"/>
    <xf numFmtId="9" fontId="5" fillId="6" borderId="12" xfId="4" applyFont="1" applyFill="1" applyBorder="1" applyAlignment="1">
      <alignment horizontal="center" vertical="center" wrapText="1"/>
    </xf>
    <xf numFmtId="22" fontId="0" fillId="0" borderId="10" xfId="0" applyNumberFormat="1" applyBorder="1" applyAlignment="1">
      <alignment horizontal="center"/>
    </xf>
    <xf numFmtId="22" fontId="0" fillId="0" borderId="17" xfId="0" applyNumberFormat="1" applyBorder="1" applyAlignment="1">
      <alignment horizontal="center"/>
    </xf>
    <xf numFmtId="22" fontId="0" fillId="0" borderId="9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2" fontId="0" fillId="0" borderId="4" xfId="0" applyNumberFormat="1" applyBorder="1"/>
    <xf numFmtId="2" fontId="0" fillId="0" borderId="1" xfId="0" applyNumberFormat="1" applyBorder="1"/>
    <xf numFmtId="43" fontId="4" fillId="2" borderId="14" xfId="1" applyFont="1" applyFill="1" applyBorder="1" applyAlignment="1">
      <alignment horizontal="center" vertical="center" wrapText="1"/>
    </xf>
  </cellXfs>
  <cellStyles count="5">
    <cellStyle name="Millares" xfId="1" builtinId="3"/>
    <cellStyle name="Moneda" xfId="2" builtinId="4"/>
    <cellStyle name="Normal" xfId="0" builtinId="0"/>
    <cellStyle name="Normal_CLIENTES" xfId="3"/>
    <cellStyle name="Porcentaje" xfId="4" builtinId="5"/>
  </cellStyles>
  <dxfs count="3">
    <dxf>
      <font>
        <b/>
        <i val="0"/>
        <color theme="9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24"/>
  <sheetViews>
    <sheetView workbookViewId="0">
      <selection activeCell="B30" sqref="B30"/>
    </sheetView>
  </sheetViews>
  <sheetFormatPr baseColWidth="10" defaultRowHeight="15" x14ac:dyDescent="0.25"/>
  <cols>
    <col min="1" max="1" width="10.42578125" customWidth="1"/>
    <col min="2" max="2" width="55.85546875" customWidth="1"/>
  </cols>
  <sheetData>
    <row r="1" spans="1:2" ht="24" customHeight="1" x14ac:dyDescent="0.25">
      <c r="A1" s="14" t="s">
        <v>119</v>
      </c>
      <c r="B1" s="14" t="s">
        <v>120</v>
      </c>
    </row>
    <row r="2" spans="1:2" x14ac:dyDescent="0.25">
      <c r="A2" s="15">
        <v>1</v>
      </c>
      <c r="B2" s="16" t="s">
        <v>121</v>
      </c>
    </row>
    <row r="3" spans="1:2" x14ac:dyDescent="0.25">
      <c r="A3" s="17">
        <v>2</v>
      </c>
      <c r="B3" s="18" t="s">
        <v>122</v>
      </c>
    </row>
    <row r="4" spans="1:2" x14ac:dyDescent="0.25">
      <c r="A4" s="15">
        <v>3</v>
      </c>
      <c r="B4" s="16" t="s">
        <v>123</v>
      </c>
    </row>
    <row r="5" spans="1:2" x14ac:dyDescent="0.25">
      <c r="A5" s="17">
        <v>4</v>
      </c>
      <c r="B5" s="18" t="s">
        <v>124</v>
      </c>
    </row>
    <row r="6" spans="1:2" x14ac:dyDescent="0.25">
      <c r="A6" s="15">
        <v>5</v>
      </c>
      <c r="B6" s="16" t="s">
        <v>125</v>
      </c>
    </row>
    <row r="7" spans="1:2" x14ac:dyDescent="0.25">
      <c r="A7" s="17">
        <v>6</v>
      </c>
      <c r="B7" s="18" t="s">
        <v>126</v>
      </c>
    </row>
    <row r="8" spans="1:2" x14ac:dyDescent="0.25">
      <c r="A8" s="15">
        <v>7</v>
      </c>
      <c r="B8" s="16" t="s">
        <v>127</v>
      </c>
    </row>
    <row r="9" spans="1:2" x14ac:dyDescent="0.25">
      <c r="A9" s="17">
        <v>8</v>
      </c>
      <c r="B9" s="18" t="s">
        <v>128</v>
      </c>
    </row>
    <row r="10" spans="1:2" x14ac:dyDescent="0.25">
      <c r="A10" s="15">
        <v>9</v>
      </c>
      <c r="B10" s="16" t="s">
        <v>129</v>
      </c>
    </row>
    <row r="11" spans="1:2" x14ac:dyDescent="0.25">
      <c r="A11" s="17">
        <v>10</v>
      </c>
      <c r="B11" s="18" t="s">
        <v>130</v>
      </c>
    </row>
    <row r="12" spans="1:2" x14ac:dyDescent="0.25">
      <c r="A12" s="15">
        <v>11</v>
      </c>
      <c r="B12" s="16" t="s">
        <v>131</v>
      </c>
    </row>
    <row r="13" spans="1:2" x14ac:dyDescent="0.25">
      <c r="A13" s="17">
        <v>12</v>
      </c>
      <c r="B13" s="18" t="s">
        <v>132</v>
      </c>
    </row>
    <row r="14" spans="1:2" x14ac:dyDescent="0.25">
      <c r="A14" s="15">
        <v>13</v>
      </c>
      <c r="B14" s="16" t="s">
        <v>133</v>
      </c>
    </row>
    <row r="15" spans="1:2" x14ac:dyDescent="0.25">
      <c r="A15" s="17">
        <v>14</v>
      </c>
      <c r="B15" s="18" t="s">
        <v>134</v>
      </c>
    </row>
    <row r="16" spans="1:2" x14ac:dyDescent="0.25">
      <c r="A16" s="15">
        <v>15</v>
      </c>
      <c r="B16" s="16" t="s">
        <v>135</v>
      </c>
    </row>
    <row r="17" spans="1:2" x14ac:dyDescent="0.25">
      <c r="A17" s="17">
        <v>16</v>
      </c>
      <c r="B17" s="18" t="s">
        <v>136</v>
      </c>
    </row>
    <row r="18" spans="1:2" x14ac:dyDescent="0.25">
      <c r="A18" s="15">
        <v>17</v>
      </c>
      <c r="B18" s="16" t="s">
        <v>137</v>
      </c>
    </row>
    <row r="19" spans="1:2" x14ac:dyDescent="0.25">
      <c r="A19" s="17">
        <v>18</v>
      </c>
      <c r="B19" s="18" t="s">
        <v>138</v>
      </c>
    </row>
    <row r="20" spans="1:2" x14ac:dyDescent="0.25">
      <c r="A20" s="15">
        <v>19</v>
      </c>
      <c r="B20" s="16" t="s">
        <v>139</v>
      </c>
    </row>
    <row r="21" spans="1:2" x14ac:dyDescent="0.25">
      <c r="A21" s="17">
        <v>20</v>
      </c>
      <c r="B21" s="18" t="s">
        <v>140</v>
      </c>
    </row>
    <row r="22" spans="1:2" x14ac:dyDescent="0.25">
      <c r="A22" s="15">
        <v>21</v>
      </c>
      <c r="B22" s="16" t="s">
        <v>141</v>
      </c>
    </row>
    <row r="23" spans="1:2" x14ac:dyDescent="0.25">
      <c r="A23" s="17">
        <v>22</v>
      </c>
      <c r="B23" s="18" t="s">
        <v>142</v>
      </c>
    </row>
    <row r="24" spans="1:2" x14ac:dyDescent="0.25">
      <c r="A24" s="15">
        <v>23</v>
      </c>
      <c r="B24" s="16" t="s">
        <v>143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2:X47"/>
  <sheetViews>
    <sheetView showGridLines="0" tabSelected="1" zoomScale="70" zoomScaleNormal="7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F7" sqref="F7"/>
    </sheetView>
  </sheetViews>
  <sheetFormatPr baseColWidth="10" defaultColWidth="64.42578125" defaultRowHeight="15" x14ac:dyDescent="0.25"/>
  <cols>
    <col min="1" max="1" width="5.7109375" customWidth="1"/>
    <col min="2" max="2" width="24.140625" customWidth="1"/>
    <col min="3" max="3" width="18.85546875" customWidth="1"/>
    <col min="4" max="4" width="18.5703125" customWidth="1"/>
    <col min="5" max="5" width="22.42578125" bestFit="1" customWidth="1"/>
    <col min="6" max="6" width="25.7109375" customWidth="1"/>
    <col min="7" max="7" width="37.28515625" customWidth="1"/>
    <col min="8" max="9" width="21.5703125" customWidth="1"/>
    <col min="10" max="10" width="22.85546875" customWidth="1"/>
    <col min="11" max="11" width="31.7109375" customWidth="1"/>
    <col min="12" max="12" width="13.28515625" customWidth="1"/>
    <col min="13" max="13" width="32" style="52" customWidth="1"/>
    <col min="14" max="14" width="26.85546875" customWidth="1"/>
    <col min="15" max="16" width="24.140625" customWidth="1"/>
    <col min="17" max="17" width="19.28515625" customWidth="1"/>
    <col min="18" max="18" width="20.42578125" customWidth="1"/>
    <col min="19" max="19" width="24.42578125" customWidth="1"/>
    <col min="20" max="20" width="22.28515625" customWidth="1"/>
    <col min="21" max="21" width="30.5703125" customWidth="1"/>
    <col min="22" max="23" width="15.140625" customWidth="1"/>
    <col min="24" max="24" width="25.28515625" customWidth="1"/>
  </cols>
  <sheetData>
    <row r="2" spans="1:24" ht="15.75" thickBot="1" x14ac:dyDescent="0.3"/>
    <row r="3" spans="1:24" ht="20.25" thickTop="1" thickBot="1" x14ac:dyDescent="0.35">
      <c r="C3" s="48" t="s">
        <v>156</v>
      </c>
      <c r="D3" s="49">
        <v>50</v>
      </c>
      <c r="G3" s="13" t="s">
        <v>118</v>
      </c>
      <c r="H3" s="55">
        <f ca="1">NOW()</f>
        <v>45324.436052777775</v>
      </c>
      <c r="I3" s="56"/>
      <c r="J3" s="57"/>
    </row>
    <row r="4" spans="1:24" ht="15.75" thickTop="1" x14ac:dyDescent="0.25">
      <c r="K4" s="1"/>
      <c r="L4" s="1"/>
      <c r="M4" s="53"/>
    </row>
    <row r="5" spans="1:24" s="22" customFormat="1" ht="60" customHeight="1" thickBot="1" x14ac:dyDescent="0.3">
      <c r="A5" s="46" t="s">
        <v>117</v>
      </c>
      <c r="B5" s="46" t="s">
        <v>148</v>
      </c>
      <c r="C5" s="46" t="s">
        <v>116</v>
      </c>
      <c r="D5" s="46" t="s">
        <v>144</v>
      </c>
      <c r="E5" s="46" t="s">
        <v>115</v>
      </c>
      <c r="F5" s="46" t="s">
        <v>114</v>
      </c>
      <c r="G5" s="46" t="s">
        <v>113</v>
      </c>
      <c r="H5" s="46" t="s">
        <v>112</v>
      </c>
      <c r="I5" s="46" t="s">
        <v>162</v>
      </c>
      <c r="J5" s="46" t="s">
        <v>111</v>
      </c>
      <c r="K5" s="46" t="s">
        <v>157</v>
      </c>
      <c r="L5" s="46" t="s">
        <v>110</v>
      </c>
      <c r="M5" s="54" t="s">
        <v>158</v>
      </c>
      <c r="N5" s="46" t="s">
        <v>150</v>
      </c>
      <c r="O5" s="46" t="s">
        <v>152</v>
      </c>
      <c r="P5" s="46" t="s">
        <v>161</v>
      </c>
      <c r="Q5" s="46" t="s">
        <v>151</v>
      </c>
      <c r="R5" s="46" t="s">
        <v>109</v>
      </c>
      <c r="S5" s="46" t="s">
        <v>108</v>
      </c>
      <c r="T5" s="46" t="s">
        <v>107</v>
      </c>
      <c r="U5" s="46" t="s">
        <v>106</v>
      </c>
      <c r="V5" s="46" t="s">
        <v>105</v>
      </c>
      <c r="W5" s="46" t="s">
        <v>153</v>
      </c>
      <c r="X5" s="47" t="s">
        <v>149</v>
      </c>
    </row>
    <row r="6" spans="1:24" s="23" customFormat="1" ht="30" customHeight="1" thickBot="1" x14ac:dyDescent="0.3">
      <c r="A6" s="24">
        <v>1</v>
      </c>
      <c r="B6" s="25" t="s">
        <v>104</v>
      </c>
      <c r="C6" s="26" t="str">
        <f>LEFT(B6,FIND("/",B6)-1)</f>
        <v>8020700</v>
      </c>
      <c r="D6" s="26" t="str">
        <f>RIGHT(B6,LEN(B6)-LEN(C6)-1)</f>
        <v>100A</v>
      </c>
      <c r="E6" s="27" t="s">
        <v>103</v>
      </c>
      <c r="F6" s="27" t="s">
        <v>102</v>
      </c>
      <c r="G6" s="27" t="str">
        <f>CONCATENATE(F6,", ",E6)</f>
        <v>POBLET RUIZ, PLACIDO</v>
      </c>
      <c r="H6" s="28">
        <v>22115</v>
      </c>
      <c r="I6" s="27">
        <f>YEAR(H6)</f>
        <v>1960</v>
      </c>
      <c r="J6" s="24">
        <f>MONTH(H6)</f>
        <v>7</v>
      </c>
      <c r="K6" s="24">
        <f>WEEKDAY(H6)</f>
        <v>2</v>
      </c>
      <c r="L6" s="50">
        <f ca="1">YEARFRAC(H6,$H$3)</f>
        <v>63.538888888888891</v>
      </c>
      <c r="M6" s="61">
        <f>IF(J6=8,$D$3-($D$3*10%),$D$3)</f>
        <v>50</v>
      </c>
      <c r="N6" s="29">
        <v>40787</v>
      </c>
      <c r="O6" s="51">
        <f>YEAR(N6)</f>
        <v>2011</v>
      </c>
      <c r="P6" s="51">
        <f>MONTH(N6)</f>
        <v>9</v>
      </c>
      <c r="Q6" s="29" t="str">
        <f>IF(P6&lt;=3,"1º trimestre",IF(AND(P6&gt;3,P6&lt;=6),"2º trimestre",IF(AND(P6&gt;6,P6&lt;=9),"3º trimestre","4º trimestre")))</f>
        <v>3º trimestre</v>
      </c>
      <c r="R6" s="24">
        <v>21</v>
      </c>
      <c r="S6" s="27" t="str">
        <f>VLOOKUP(R6,ESTUDIOS!$A$2:$B$24,2,FALSE)</f>
        <v>Licenciado en Química</v>
      </c>
      <c r="T6" s="27" t="s">
        <v>73</v>
      </c>
      <c r="U6" s="27" t="s">
        <v>101</v>
      </c>
      <c r="V6" s="27" t="s">
        <v>100</v>
      </c>
      <c r="W6" s="27" t="str">
        <f>IF(AND(T6="Alicante",O6=2012),"TIPO A",IF(OR(T6="Aspe",T6="Torrent"),"TIPO B",""))</f>
        <v/>
      </c>
      <c r="X6" s="30" t="str">
        <f>IF(AND(T6="Alicante",R6=3),"SI","NO")</f>
        <v>NO</v>
      </c>
    </row>
    <row r="7" spans="1:24" s="23" customFormat="1" ht="30" customHeight="1" thickBot="1" x14ac:dyDescent="0.3">
      <c r="A7" s="31">
        <v>2</v>
      </c>
      <c r="B7" s="32" t="s">
        <v>99</v>
      </c>
      <c r="C7" s="26" t="str">
        <f t="shared" ref="C7:C26" si="0">LEFT(B7,FIND("/",B7)-1)</f>
        <v>47773348</v>
      </c>
      <c r="D7" s="26" t="str">
        <f t="shared" ref="D7:D26" si="1">RIGHT(B7,LEN(B7)-LEN(C7)-1)</f>
        <v>2000B</v>
      </c>
      <c r="E7" s="33" t="s">
        <v>94</v>
      </c>
      <c r="F7" s="33" t="s">
        <v>98</v>
      </c>
      <c r="G7" s="27" t="str">
        <f t="shared" ref="G7:G26" si="2">CONCATENATE(F7,", ",E7)</f>
        <v>MARTINEZ ALMODOVAR, DANIEL</v>
      </c>
      <c r="H7" s="34">
        <v>15250</v>
      </c>
      <c r="I7" s="27">
        <f t="shared" ref="I7:I26" si="3">YEAR(H7)</f>
        <v>1941</v>
      </c>
      <c r="J7" s="24">
        <f t="shared" ref="J7:J26" si="4">MONTH(H7)</f>
        <v>10</v>
      </c>
      <c r="K7" s="24">
        <f t="shared" ref="K7:K26" si="5">WEEKDAY(H7)</f>
        <v>4</v>
      </c>
      <c r="L7" s="50">
        <f t="shared" ref="L7:L26" ca="1" si="6">YEARFRAC(H7,$H$3)</f>
        <v>82.336111111111109</v>
      </c>
      <c r="M7" s="61">
        <f t="shared" ref="M7:M26" si="7">IF(J7=8,$D$3-($D$3*10%),$D$3)</f>
        <v>50</v>
      </c>
      <c r="N7" s="35">
        <v>41214</v>
      </c>
      <c r="O7" s="51">
        <f t="shared" ref="O7:O26" si="8">YEAR(N7)</f>
        <v>2012</v>
      </c>
      <c r="P7" s="51">
        <f t="shared" ref="P7:P26" si="9">MONTH(N7)</f>
        <v>11</v>
      </c>
      <c r="Q7" s="29" t="str">
        <f>IF(P7&lt;=3,"1º trimestre",IF(AND(P7&gt;3,P7&lt;=6),"2º trimestre",IF(AND(P7&gt;6,P7&lt;=9),"3º trimestre","4º trimestre")))</f>
        <v>4º trimestre</v>
      </c>
      <c r="R7" s="31">
        <v>3</v>
      </c>
      <c r="S7" s="27" t="str">
        <f>VLOOKUP(R7,ESTUDIOS!$A$2:$B$24,2,FALSE)</f>
        <v>Ciencias Sociales y Jurídicas</v>
      </c>
      <c r="T7" s="33" t="s">
        <v>30</v>
      </c>
      <c r="U7" s="33" t="s">
        <v>97</v>
      </c>
      <c r="V7" s="33" t="s">
        <v>96</v>
      </c>
      <c r="W7" s="27" t="str">
        <f t="shared" ref="W7:W26" si="10">IF(AND(T7="Alicante",O7=2012),"TIPO A",IF(OR(T7="Aspe",T7="Torrent"),"TIPO B",""))</f>
        <v>TIPO A</v>
      </c>
      <c r="X7" s="30" t="str">
        <f t="shared" ref="X7:X26" si="11">IF(AND(T7="Alicante",R7=3),"SI","NO")</f>
        <v>SI</v>
      </c>
    </row>
    <row r="8" spans="1:24" s="23" customFormat="1" ht="30" customHeight="1" thickBot="1" x14ac:dyDescent="0.3">
      <c r="A8" s="36">
        <v>3</v>
      </c>
      <c r="B8" s="37" t="s">
        <v>95</v>
      </c>
      <c r="C8" s="26" t="str">
        <f t="shared" si="0"/>
        <v>25798735</v>
      </c>
      <c r="D8" s="26" t="str">
        <f t="shared" si="1"/>
        <v>300C</v>
      </c>
      <c r="E8" s="38" t="s">
        <v>94</v>
      </c>
      <c r="F8" s="38" t="s">
        <v>93</v>
      </c>
      <c r="G8" s="27" t="str">
        <f t="shared" si="2"/>
        <v>MOLTO AMOROS, DANIEL</v>
      </c>
      <c r="H8" s="39">
        <v>25993</v>
      </c>
      <c r="I8" s="27">
        <f t="shared" si="3"/>
        <v>1971</v>
      </c>
      <c r="J8" s="24">
        <f t="shared" si="4"/>
        <v>3</v>
      </c>
      <c r="K8" s="24">
        <f t="shared" si="5"/>
        <v>2</v>
      </c>
      <c r="L8" s="50">
        <f t="shared" ca="1" si="6"/>
        <v>52.919444444444444</v>
      </c>
      <c r="M8" s="61">
        <f t="shared" si="7"/>
        <v>50</v>
      </c>
      <c r="N8" s="40">
        <v>40695</v>
      </c>
      <c r="O8" s="51">
        <f t="shared" si="8"/>
        <v>2011</v>
      </c>
      <c r="P8" s="51">
        <f t="shared" si="9"/>
        <v>6</v>
      </c>
      <c r="Q8" s="29" t="str">
        <f t="shared" ref="Q8:Q26" si="12">IF(P8&lt;=3,"1º trimestre",IF(AND(P8&gt;3,P8&lt;=6),"2º trimestre",IF(AND(P8&gt;6,P8&lt;=9),"3º trimestre","4º trimestre")))</f>
        <v>2º trimestre</v>
      </c>
      <c r="R8" s="36">
        <v>20</v>
      </c>
      <c r="S8" s="27" t="str">
        <f>VLOOKUP(R8,ESTUDIOS!$A$2:$B$24,2,FALSE)</f>
        <v>Licenciado en Publicidad y Relaciones Públicas</v>
      </c>
      <c r="T8" s="38" t="s">
        <v>25</v>
      </c>
      <c r="U8" s="38" t="s">
        <v>92</v>
      </c>
      <c r="V8" s="38" t="s">
        <v>91</v>
      </c>
      <c r="W8" s="27" t="str">
        <f t="shared" si="10"/>
        <v>TIPO B</v>
      </c>
      <c r="X8" s="30" t="str">
        <f t="shared" si="11"/>
        <v>NO</v>
      </c>
    </row>
    <row r="9" spans="1:24" s="23" customFormat="1" ht="30" customHeight="1" thickBot="1" x14ac:dyDescent="0.3">
      <c r="A9" s="31">
        <v>4</v>
      </c>
      <c r="B9" s="32" t="s">
        <v>90</v>
      </c>
      <c r="C9" s="26" t="str">
        <f t="shared" si="0"/>
        <v>24336082</v>
      </c>
      <c r="D9" s="26" t="str">
        <f t="shared" si="1"/>
        <v>4000D</v>
      </c>
      <c r="E9" s="33" t="s">
        <v>15</v>
      </c>
      <c r="F9" s="33" t="s">
        <v>89</v>
      </c>
      <c r="G9" s="27" t="str">
        <f t="shared" si="2"/>
        <v>MOLINES MARCO, VICENTE</v>
      </c>
      <c r="H9" s="34">
        <v>36758</v>
      </c>
      <c r="I9" s="27">
        <f t="shared" si="3"/>
        <v>2000</v>
      </c>
      <c r="J9" s="24">
        <f t="shared" si="4"/>
        <v>8</v>
      </c>
      <c r="K9" s="24">
        <f t="shared" si="5"/>
        <v>1</v>
      </c>
      <c r="L9" s="50">
        <f t="shared" ca="1" si="6"/>
        <v>23.45</v>
      </c>
      <c r="M9" s="61">
        <f t="shared" si="7"/>
        <v>45</v>
      </c>
      <c r="N9" s="35">
        <v>41334</v>
      </c>
      <c r="O9" s="51">
        <f t="shared" si="8"/>
        <v>2013</v>
      </c>
      <c r="P9" s="51">
        <f t="shared" si="9"/>
        <v>3</v>
      </c>
      <c r="Q9" s="29" t="str">
        <f t="shared" si="12"/>
        <v>1º trimestre</v>
      </c>
      <c r="R9" s="31">
        <v>17</v>
      </c>
      <c r="S9" s="27" t="str">
        <f>VLOOKUP(R9,ESTUDIOS!$A$2:$B$24,2,FALSE)</f>
        <v>Licenciado en Derecho</v>
      </c>
      <c r="T9" s="33" t="s">
        <v>25</v>
      </c>
      <c r="U9" s="33" t="s">
        <v>88</v>
      </c>
      <c r="V9" s="33">
        <v>985803181</v>
      </c>
      <c r="W9" s="27" t="str">
        <f t="shared" si="10"/>
        <v>TIPO B</v>
      </c>
      <c r="X9" s="30" t="str">
        <f t="shared" si="11"/>
        <v>NO</v>
      </c>
    </row>
    <row r="10" spans="1:24" s="23" customFormat="1" ht="30" customHeight="1" thickBot="1" x14ac:dyDescent="0.3">
      <c r="A10" s="36">
        <v>5</v>
      </c>
      <c r="B10" s="37" t="s">
        <v>147</v>
      </c>
      <c r="C10" s="26" t="str">
        <f t="shared" si="0"/>
        <v>12320863</v>
      </c>
      <c r="D10" s="26" t="str">
        <f t="shared" si="1"/>
        <v>2601E</v>
      </c>
      <c r="E10" s="38" t="s">
        <v>21</v>
      </c>
      <c r="F10" s="38" t="s">
        <v>87</v>
      </c>
      <c r="G10" s="27" t="str">
        <f t="shared" si="2"/>
        <v>SEGURA CERDAN, JUAN FRANCISCO</v>
      </c>
      <c r="H10" s="39">
        <v>22311</v>
      </c>
      <c r="I10" s="27">
        <f t="shared" si="3"/>
        <v>1961</v>
      </c>
      <c r="J10" s="24">
        <f t="shared" si="4"/>
        <v>1</v>
      </c>
      <c r="K10" s="24">
        <f t="shared" si="5"/>
        <v>2</v>
      </c>
      <c r="L10" s="50">
        <f t="shared" ca="1" si="6"/>
        <v>63.005555555555553</v>
      </c>
      <c r="M10" s="61">
        <f t="shared" si="7"/>
        <v>50</v>
      </c>
      <c r="N10" s="40">
        <v>41456</v>
      </c>
      <c r="O10" s="51">
        <f t="shared" si="8"/>
        <v>2013</v>
      </c>
      <c r="P10" s="51">
        <f t="shared" si="9"/>
        <v>7</v>
      </c>
      <c r="Q10" s="29" t="str">
        <f t="shared" si="12"/>
        <v>3º trimestre</v>
      </c>
      <c r="R10" s="36">
        <v>21</v>
      </c>
      <c r="S10" s="27" t="str">
        <f>VLOOKUP(R10,ESTUDIOS!$A$2:$B$24,2,FALSE)</f>
        <v>Licenciado en Química</v>
      </c>
      <c r="T10" s="38" t="s">
        <v>13</v>
      </c>
      <c r="U10" s="38" t="s">
        <v>86</v>
      </c>
      <c r="V10" s="38"/>
      <c r="W10" s="27" t="str">
        <f t="shared" si="10"/>
        <v/>
      </c>
      <c r="X10" s="30" t="str">
        <f t="shared" si="11"/>
        <v>NO</v>
      </c>
    </row>
    <row r="11" spans="1:24" s="23" customFormat="1" ht="30" customHeight="1" thickBot="1" x14ac:dyDescent="0.3">
      <c r="A11" s="31">
        <v>6</v>
      </c>
      <c r="B11" s="32" t="s">
        <v>85</v>
      </c>
      <c r="C11" s="26" t="str">
        <f t="shared" si="0"/>
        <v>56612481</v>
      </c>
      <c r="D11" s="26" t="str">
        <f t="shared" si="1"/>
        <v>111A</v>
      </c>
      <c r="E11" s="33" t="s">
        <v>84</v>
      </c>
      <c r="F11" s="33" t="s">
        <v>83</v>
      </c>
      <c r="G11" s="27" t="str">
        <f t="shared" si="2"/>
        <v>SOGORB SANTACRUZ, ANGEL</v>
      </c>
      <c r="H11" s="34">
        <v>18424</v>
      </c>
      <c r="I11" s="27">
        <f t="shared" si="3"/>
        <v>1950</v>
      </c>
      <c r="J11" s="24">
        <f t="shared" si="4"/>
        <v>6</v>
      </c>
      <c r="K11" s="24">
        <f t="shared" si="5"/>
        <v>7</v>
      </c>
      <c r="L11" s="50">
        <f t="shared" ca="1" si="6"/>
        <v>73.644444444444446</v>
      </c>
      <c r="M11" s="61">
        <f t="shared" si="7"/>
        <v>50</v>
      </c>
      <c r="N11" s="35">
        <v>40940</v>
      </c>
      <c r="O11" s="51">
        <f t="shared" si="8"/>
        <v>2012</v>
      </c>
      <c r="P11" s="51">
        <f t="shared" si="9"/>
        <v>2</v>
      </c>
      <c r="Q11" s="29" t="str">
        <f t="shared" si="12"/>
        <v>1º trimestre</v>
      </c>
      <c r="R11" s="31">
        <v>3</v>
      </c>
      <c r="S11" s="27" t="str">
        <f>VLOOKUP(R11,ESTUDIOS!$A$2:$B$24,2,FALSE)</f>
        <v>Ciencias Sociales y Jurídicas</v>
      </c>
      <c r="T11" s="33" t="s">
        <v>30</v>
      </c>
      <c r="U11" s="33" t="s">
        <v>82</v>
      </c>
      <c r="V11" s="33" t="s">
        <v>81</v>
      </c>
      <c r="W11" s="27" t="str">
        <f t="shared" si="10"/>
        <v>TIPO A</v>
      </c>
      <c r="X11" s="30" t="str">
        <f t="shared" si="11"/>
        <v>SI</v>
      </c>
    </row>
    <row r="12" spans="1:24" s="23" customFormat="1" ht="30" customHeight="1" thickBot="1" x14ac:dyDescent="0.3">
      <c r="A12" s="36">
        <v>7</v>
      </c>
      <c r="B12" s="37" t="s">
        <v>80</v>
      </c>
      <c r="C12" s="26" t="str">
        <f t="shared" si="0"/>
        <v>77276801</v>
      </c>
      <c r="D12" s="26" t="str">
        <f t="shared" si="1"/>
        <v>222B</v>
      </c>
      <c r="E12" s="38" t="s">
        <v>79</v>
      </c>
      <c r="F12" s="38" t="s">
        <v>78</v>
      </c>
      <c r="G12" s="27" t="str">
        <f t="shared" si="2"/>
        <v>SANZ SANZ, ANTONIO</v>
      </c>
      <c r="H12" s="39">
        <v>19570</v>
      </c>
      <c r="I12" s="27">
        <f t="shared" si="3"/>
        <v>1953</v>
      </c>
      <c r="J12" s="24">
        <f t="shared" si="4"/>
        <v>7</v>
      </c>
      <c r="K12" s="24">
        <f t="shared" si="5"/>
        <v>5</v>
      </c>
      <c r="L12" s="50">
        <f t="shared" ca="1" si="6"/>
        <v>70.50555555555556</v>
      </c>
      <c r="M12" s="61">
        <f t="shared" si="7"/>
        <v>50</v>
      </c>
      <c r="N12" s="40">
        <v>40544</v>
      </c>
      <c r="O12" s="51">
        <f t="shared" si="8"/>
        <v>2011</v>
      </c>
      <c r="P12" s="51">
        <f t="shared" si="9"/>
        <v>1</v>
      </c>
      <c r="Q12" s="29" t="str">
        <f t="shared" si="12"/>
        <v>1º trimestre</v>
      </c>
      <c r="R12" s="36">
        <v>10</v>
      </c>
      <c r="S12" s="27" t="str">
        <f>VLOOKUP(R12,ESTUDIOS!$A$2:$B$24,2,FALSE)</f>
        <v>Ingeniero en Informática</v>
      </c>
      <c r="T12" s="38" t="s">
        <v>30</v>
      </c>
      <c r="U12" s="38" t="s">
        <v>77</v>
      </c>
      <c r="V12" s="38"/>
      <c r="W12" s="27" t="str">
        <f t="shared" si="10"/>
        <v/>
      </c>
      <c r="X12" s="30" t="str">
        <f t="shared" si="11"/>
        <v>NO</v>
      </c>
    </row>
    <row r="13" spans="1:24" s="23" customFormat="1" ht="30" customHeight="1" thickBot="1" x14ac:dyDescent="0.3">
      <c r="A13" s="31">
        <v>8</v>
      </c>
      <c r="B13" s="32" t="s">
        <v>76</v>
      </c>
      <c r="C13" s="26" t="str">
        <f t="shared" si="0"/>
        <v>92430112</v>
      </c>
      <c r="D13" s="26" t="str">
        <f t="shared" si="1"/>
        <v>440J</v>
      </c>
      <c r="E13" s="33" t="s">
        <v>75</v>
      </c>
      <c r="F13" s="33" t="s">
        <v>74</v>
      </c>
      <c r="G13" s="27" t="str">
        <f t="shared" si="2"/>
        <v>VERA GARCIA, MIGUEL</v>
      </c>
      <c r="H13" s="34">
        <v>21964</v>
      </c>
      <c r="I13" s="27">
        <f t="shared" si="3"/>
        <v>1960</v>
      </c>
      <c r="J13" s="24">
        <f t="shared" si="4"/>
        <v>2</v>
      </c>
      <c r="K13" s="24">
        <f t="shared" si="5"/>
        <v>5</v>
      </c>
      <c r="L13" s="50">
        <f t="shared" ca="1" si="6"/>
        <v>63.955555555555556</v>
      </c>
      <c r="M13" s="61">
        <f t="shared" si="7"/>
        <v>50</v>
      </c>
      <c r="N13" s="35">
        <v>41306</v>
      </c>
      <c r="O13" s="51">
        <f t="shared" si="8"/>
        <v>2013</v>
      </c>
      <c r="P13" s="51">
        <f t="shared" si="9"/>
        <v>2</v>
      </c>
      <c r="Q13" s="29" t="str">
        <f t="shared" si="12"/>
        <v>1º trimestre</v>
      </c>
      <c r="R13" s="31">
        <v>21</v>
      </c>
      <c r="S13" s="27" t="str">
        <f>VLOOKUP(R13,ESTUDIOS!$A$2:$B$24,2,FALSE)</f>
        <v>Licenciado en Química</v>
      </c>
      <c r="T13" s="33" t="s">
        <v>73</v>
      </c>
      <c r="U13" s="33" t="s">
        <v>72</v>
      </c>
      <c r="V13" s="33" t="s">
        <v>71</v>
      </c>
      <c r="W13" s="27" t="str">
        <f t="shared" si="10"/>
        <v/>
      </c>
      <c r="X13" s="30" t="str">
        <f t="shared" si="11"/>
        <v>NO</v>
      </c>
    </row>
    <row r="14" spans="1:24" s="23" customFormat="1" ht="30" customHeight="1" thickBot="1" x14ac:dyDescent="0.3">
      <c r="A14" s="36">
        <v>9</v>
      </c>
      <c r="B14" s="37" t="s">
        <v>70</v>
      </c>
      <c r="C14" s="26" t="str">
        <f t="shared" si="0"/>
        <v>46908347</v>
      </c>
      <c r="D14" s="26" t="str">
        <f t="shared" si="1"/>
        <v>500G</v>
      </c>
      <c r="E14" s="38" t="s">
        <v>69</v>
      </c>
      <c r="F14" s="38" t="s">
        <v>68</v>
      </c>
      <c r="G14" s="27" t="str">
        <f t="shared" si="2"/>
        <v>GONZALEZ LEON, FELIPE</v>
      </c>
      <c r="H14" s="39">
        <v>17180</v>
      </c>
      <c r="I14" s="27">
        <f t="shared" si="3"/>
        <v>1947</v>
      </c>
      <c r="J14" s="24">
        <f t="shared" si="4"/>
        <v>1</v>
      </c>
      <c r="K14" s="24">
        <f t="shared" si="5"/>
        <v>2</v>
      </c>
      <c r="L14" s="50">
        <f t="shared" ca="1" si="6"/>
        <v>77.052777777777777</v>
      </c>
      <c r="M14" s="61">
        <f t="shared" si="7"/>
        <v>50</v>
      </c>
      <c r="N14" s="40">
        <v>40544</v>
      </c>
      <c r="O14" s="51">
        <f t="shared" si="8"/>
        <v>2011</v>
      </c>
      <c r="P14" s="51">
        <f t="shared" si="9"/>
        <v>1</v>
      </c>
      <c r="Q14" s="29" t="str">
        <f t="shared" si="12"/>
        <v>1º trimestre</v>
      </c>
      <c r="R14" s="36">
        <v>8</v>
      </c>
      <c r="S14" s="27" t="str">
        <f>VLOOKUP(R14,ESTUDIOS!$A$2:$B$24,2,FALSE)</f>
        <v>Estudios basicos: EGB</v>
      </c>
      <c r="T14" s="38" t="s">
        <v>19</v>
      </c>
      <c r="U14" s="38" t="s">
        <v>67</v>
      </c>
      <c r="V14" s="38" t="s">
        <v>66</v>
      </c>
      <c r="W14" s="27" t="str">
        <f t="shared" si="10"/>
        <v/>
      </c>
      <c r="X14" s="30" t="str">
        <f t="shared" si="11"/>
        <v>NO</v>
      </c>
    </row>
    <row r="15" spans="1:24" s="23" customFormat="1" ht="30" customHeight="1" thickBot="1" x14ac:dyDescent="0.3">
      <c r="A15" s="31">
        <v>10</v>
      </c>
      <c r="B15" s="32" t="s">
        <v>145</v>
      </c>
      <c r="C15" s="26" t="str">
        <f t="shared" si="0"/>
        <v>3637692</v>
      </c>
      <c r="D15" s="26" t="str">
        <f t="shared" si="1"/>
        <v>1320R</v>
      </c>
      <c r="E15" s="33" t="s">
        <v>65</v>
      </c>
      <c r="F15" s="33" t="s">
        <v>64</v>
      </c>
      <c r="G15" s="27" t="str">
        <f t="shared" si="2"/>
        <v>MARQUEZ MOLTO, VICTOR MANUEL</v>
      </c>
      <c r="H15" s="34">
        <v>29061</v>
      </c>
      <c r="I15" s="27">
        <f t="shared" si="3"/>
        <v>1979</v>
      </c>
      <c r="J15" s="24">
        <f t="shared" si="4"/>
        <v>7</v>
      </c>
      <c r="K15" s="24">
        <f t="shared" si="5"/>
        <v>4</v>
      </c>
      <c r="L15" s="50">
        <f t="shared" ca="1" si="6"/>
        <v>44.519444444444446</v>
      </c>
      <c r="M15" s="61">
        <f t="shared" si="7"/>
        <v>50</v>
      </c>
      <c r="N15" s="35">
        <v>40940</v>
      </c>
      <c r="O15" s="51">
        <f t="shared" si="8"/>
        <v>2012</v>
      </c>
      <c r="P15" s="51">
        <f t="shared" si="9"/>
        <v>2</v>
      </c>
      <c r="Q15" s="29" t="str">
        <f t="shared" si="12"/>
        <v>1º trimestre</v>
      </c>
      <c r="R15" s="31">
        <v>9</v>
      </c>
      <c r="S15" s="27" t="str">
        <f>VLOOKUP(R15,ESTUDIOS!$A$2:$B$24,2,FALSE)</f>
        <v>Estudios de grado medio: COU</v>
      </c>
      <c r="T15" s="33" t="s">
        <v>25</v>
      </c>
      <c r="U15" s="33" t="s">
        <v>63</v>
      </c>
      <c r="V15" s="33" t="s">
        <v>62</v>
      </c>
      <c r="W15" s="27" t="str">
        <f t="shared" si="10"/>
        <v>TIPO B</v>
      </c>
      <c r="X15" s="30" t="str">
        <f t="shared" si="11"/>
        <v>NO</v>
      </c>
    </row>
    <row r="16" spans="1:24" s="23" customFormat="1" ht="30" customHeight="1" thickBot="1" x14ac:dyDescent="0.3">
      <c r="A16" s="36">
        <v>11</v>
      </c>
      <c r="B16" s="37" t="s">
        <v>61</v>
      </c>
      <c r="C16" s="26" t="str">
        <f t="shared" si="0"/>
        <v>70591843</v>
      </c>
      <c r="D16" s="26" t="str">
        <f t="shared" si="1"/>
        <v>879D</v>
      </c>
      <c r="E16" s="38" t="s">
        <v>60</v>
      </c>
      <c r="F16" s="38" t="s">
        <v>59</v>
      </c>
      <c r="G16" s="27" t="str">
        <f t="shared" si="2"/>
        <v>BAEZA PUIG, ROBERTO</v>
      </c>
      <c r="H16" s="39">
        <v>22138</v>
      </c>
      <c r="I16" s="27">
        <f t="shared" si="3"/>
        <v>1960</v>
      </c>
      <c r="J16" s="24">
        <f t="shared" si="4"/>
        <v>8</v>
      </c>
      <c r="K16" s="24">
        <f t="shared" si="5"/>
        <v>4</v>
      </c>
      <c r="L16" s="50">
        <f t="shared" ca="1" si="6"/>
        <v>63.477777777777774</v>
      </c>
      <c r="M16" s="61">
        <f t="shared" si="7"/>
        <v>45</v>
      </c>
      <c r="N16" s="40">
        <v>40544</v>
      </c>
      <c r="O16" s="51">
        <f t="shared" si="8"/>
        <v>2011</v>
      </c>
      <c r="P16" s="51">
        <f t="shared" si="9"/>
        <v>1</v>
      </c>
      <c r="Q16" s="29" t="str">
        <f t="shared" si="12"/>
        <v>1º trimestre</v>
      </c>
      <c r="R16" s="36">
        <v>10</v>
      </c>
      <c r="S16" s="27" t="str">
        <f>VLOOKUP(R16,ESTUDIOS!$A$2:$B$24,2,FALSE)</f>
        <v>Ingeniero en Informática</v>
      </c>
      <c r="T16" s="38" t="s">
        <v>8</v>
      </c>
      <c r="U16" s="38" t="s">
        <v>58</v>
      </c>
      <c r="V16" s="38"/>
      <c r="W16" s="27" t="str">
        <f t="shared" si="10"/>
        <v>TIPO B</v>
      </c>
      <c r="X16" s="30" t="str">
        <f t="shared" si="11"/>
        <v>NO</v>
      </c>
    </row>
    <row r="17" spans="1:24" s="23" customFormat="1" ht="30" customHeight="1" thickBot="1" x14ac:dyDescent="0.3">
      <c r="A17" s="31">
        <v>12</v>
      </c>
      <c r="B17" s="32" t="s">
        <v>57</v>
      </c>
      <c r="C17" s="26" t="str">
        <f t="shared" si="0"/>
        <v>92185057</v>
      </c>
      <c r="D17" s="26" t="str">
        <f t="shared" si="1"/>
        <v>345T</v>
      </c>
      <c r="E17" s="33" t="s">
        <v>56</v>
      </c>
      <c r="F17" s="33" t="s">
        <v>55</v>
      </c>
      <c r="G17" s="27" t="str">
        <f t="shared" si="2"/>
        <v>ESPI SIMARRO, EDUARDO</v>
      </c>
      <c r="H17" s="34">
        <v>13401</v>
      </c>
      <c r="I17" s="27">
        <f t="shared" si="3"/>
        <v>1936</v>
      </c>
      <c r="J17" s="24">
        <f t="shared" si="4"/>
        <v>9</v>
      </c>
      <c r="K17" s="24">
        <f t="shared" si="5"/>
        <v>3</v>
      </c>
      <c r="L17" s="50">
        <f t="shared" ca="1" si="6"/>
        <v>87.4</v>
      </c>
      <c r="M17" s="61">
        <f t="shared" si="7"/>
        <v>50</v>
      </c>
      <c r="N17" s="35">
        <v>41306</v>
      </c>
      <c r="O17" s="51">
        <f t="shared" si="8"/>
        <v>2013</v>
      </c>
      <c r="P17" s="51">
        <f t="shared" si="9"/>
        <v>2</v>
      </c>
      <c r="Q17" s="29" t="str">
        <f t="shared" si="12"/>
        <v>1º trimestre</v>
      </c>
      <c r="R17" s="31">
        <v>18</v>
      </c>
      <c r="S17" s="27" t="str">
        <f>VLOOKUP(R17,ESTUDIOS!$A$2:$B$24,2,FALSE)</f>
        <v>Licenciado en Economía</v>
      </c>
      <c r="T17" s="33" t="s">
        <v>13</v>
      </c>
      <c r="U17" s="33" t="s">
        <v>54</v>
      </c>
      <c r="V17" s="33" t="s">
        <v>53</v>
      </c>
      <c r="W17" s="27" t="str">
        <f t="shared" si="10"/>
        <v/>
      </c>
      <c r="X17" s="30" t="str">
        <f t="shared" si="11"/>
        <v>NO</v>
      </c>
    </row>
    <row r="18" spans="1:24" s="23" customFormat="1" ht="30" customHeight="1" thickBot="1" x14ac:dyDescent="0.3">
      <c r="A18" s="36">
        <v>13</v>
      </c>
      <c r="B18" s="37" t="s">
        <v>52</v>
      </c>
      <c r="C18" s="26" t="str">
        <f t="shared" si="0"/>
        <v>3581208</v>
      </c>
      <c r="D18" s="26" t="str">
        <f t="shared" si="1"/>
        <v>200G</v>
      </c>
      <c r="E18" s="38" t="s">
        <v>51</v>
      </c>
      <c r="F18" s="38" t="s">
        <v>50</v>
      </c>
      <c r="G18" s="27" t="str">
        <f t="shared" si="2"/>
        <v>SORIANO FERRANDIZ, MIGUEL ANGEL</v>
      </c>
      <c r="H18" s="39">
        <v>17287</v>
      </c>
      <c r="I18" s="27">
        <f t="shared" si="3"/>
        <v>1947</v>
      </c>
      <c r="J18" s="24">
        <f t="shared" si="4"/>
        <v>4</v>
      </c>
      <c r="K18" s="24">
        <f t="shared" si="5"/>
        <v>4</v>
      </c>
      <c r="L18" s="50">
        <f t="shared" ca="1" si="6"/>
        <v>76.75555555555556</v>
      </c>
      <c r="M18" s="61">
        <f t="shared" si="7"/>
        <v>50</v>
      </c>
      <c r="N18" s="40">
        <v>40544</v>
      </c>
      <c r="O18" s="51">
        <f t="shared" si="8"/>
        <v>2011</v>
      </c>
      <c r="P18" s="51">
        <f t="shared" si="9"/>
        <v>1</v>
      </c>
      <c r="Q18" s="29" t="str">
        <f t="shared" si="12"/>
        <v>1º trimestre</v>
      </c>
      <c r="R18" s="36">
        <v>10</v>
      </c>
      <c r="S18" s="27" t="str">
        <f>VLOOKUP(R18,ESTUDIOS!$A$2:$B$24,2,FALSE)</f>
        <v>Ingeniero en Informática</v>
      </c>
      <c r="T18" s="38" t="s">
        <v>19</v>
      </c>
      <c r="U18" s="38" t="s">
        <v>49</v>
      </c>
      <c r="V18" s="38" t="s">
        <v>48</v>
      </c>
      <c r="W18" s="27" t="str">
        <f t="shared" si="10"/>
        <v/>
      </c>
      <c r="X18" s="30" t="str">
        <f t="shared" si="11"/>
        <v>NO</v>
      </c>
    </row>
    <row r="19" spans="1:24" s="23" customFormat="1" ht="30" customHeight="1" thickBot="1" x14ac:dyDescent="0.3">
      <c r="A19" s="31">
        <v>14</v>
      </c>
      <c r="B19" s="32" t="s">
        <v>47</v>
      </c>
      <c r="C19" s="26" t="str">
        <f t="shared" si="0"/>
        <v>82576360</v>
      </c>
      <c r="D19" s="26" t="str">
        <f t="shared" si="1"/>
        <v>367A</v>
      </c>
      <c r="E19" s="33" t="s">
        <v>46</v>
      </c>
      <c r="F19" s="33" t="s">
        <v>45</v>
      </c>
      <c r="G19" s="27" t="str">
        <f t="shared" si="2"/>
        <v>RAMON BREZMES, ICIAR</v>
      </c>
      <c r="H19" s="34">
        <v>37857</v>
      </c>
      <c r="I19" s="27">
        <f t="shared" si="3"/>
        <v>2003</v>
      </c>
      <c r="J19" s="24">
        <f t="shared" si="4"/>
        <v>8</v>
      </c>
      <c r="K19" s="24">
        <f t="shared" si="5"/>
        <v>1</v>
      </c>
      <c r="L19" s="50">
        <f t="shared" ca="1" si="6"/>
        <v>20.43888888888889</v>
      </c>
      <c r="M19" s="61">
        <f t="shared" si="7"/>
        <v>45</v>
      </c>
      <c r="N19" s="35">
        <v>40695</v>
      </c>
      <c r="O19" s="51">
        <f t="shared" si="8"/>
        <v>2011</v>
      </c>
      <c r="P19" s="51">
        <f t="shared" si="9"/>
        <v>6</v>
      </c>
      <c r="Q19" s="29" t="str">
        <f t="shared" si="12"/>
        <v>2º trimestre</v>
      </c>
      <c r="R19" s="31">
        <v>12</v>
      </c>
      <c r="S19" s="27" t="str">
        <f>VLOOKUP(R19,ESTUDIOS!$A$2:$B$24,2,FALSE)</f>
        <v>Ingeniero Técnico de Telecomunicación: Sonido e Imagen</v>
      </c>
      <c r="T19" s="33" t="s">
        <v>8</v>
      </c>
      <c r="U19" s="33" t="s">
        <v>44</v>
      </c>
      <c r="V19" s="33" t="s">
        <v>43</v>
      </c>
      <c r="W19" s="27" t="str">
        <f t="shared" si="10"/>
        <v>TIPO B</v>
      </c>
      <c r="X19" s="30" t="str">
        <f t="shared" si="11"/>
        <v>NO</v>
      </c>
    </row>
    <row r="20" spans="1:24" s="23" customFormat="1" ht="30" customHeight="1" thickBot="1" x14ac:dyDescent="0.3">
      <c r="A20" s="36">
        <v>15</v>
      </c>
      <c r="B20" s="37" t="s">
        <v>146</v>
      </c>
      <c r="C20" s="26" t="str">
        <f t="shared" si="0"/>
        <v>56497448</v>
      </c>
      <c r="D20" s="26" t="str">
        <f t="shared" si="1"/>
        <v>9487F</v>
      </c>
      <c r="E20" s="38" t="s">
        <v>42</v>
      </c>
      <c r="F20" s="38" t="s">
        <v>41</v>
      </c>
      <c r="G20" s="27" t="str">
        <f t="shared" si="2"/>
        <v>MAESTRE AMOROS, JUAN ANTONIO</v>
      </c>
      <c r="H20" s="39">
        <v>29590</v>
      </c>
      <c r="I20" s="27">
        <f t="shared" si="3"/>
        <v>1981</v>
      </c>
      <c r="J20" s="24">
        <f t="shared" si="4"/>
        <v>1</v>
      </c>
      <c r="K20" s="24">
        <f t="shared" si="5"/>
        <v>1</v>
      </c>
      <c r="L20" s="50">
        <f t="shared" ca="1" si="6"/>
        <v>43.077777777777776</v>
      </c>
      <c r="M20" s="61">
        <f t="shared" si="7"/>
        <v>50</v>
      </c>
      <c r="N20" s="40">
        <v>41334</v>
      </c>
      <c r="O20" s="51">
        <f t="shared" si="8"/>
        <v>2013</v>
      </c>
      <c r="P20" s="51">
        <f t="shared" si="9"/>
        <v>3</v>
      </c>
      <c r="Q20" s="29" t="str">
        <f t="shared" si="12"/>
        <v>1º trimestre</v>
      </c>
      <c r="R20" s="36">
        <v>21</v>
      </c>
      <c r="S20" s="27" t="str">
        <f>VLOOKUP(R20,ESTUDIOS!$A$2:$B$24,2,FALSE)</f>
        <v>Licenciado en Química</v>
      </c>
      <c r="T20" s="38" t="s">
        <v>8</v>
      </c>
      <c r="U20" s="38" t="s">
        <v>40</v>
      </c>
      <c r="V20" s="38" t="s">
        <v>39</v>
      </c>
      <c r="W20" s="27" t="str">
        <f t="shared" si="10"/>
        <v>TIPO B</v>
      </c>
      <c r="X20" s="30" t="str">
        <f t="shared" si="11"/>
        <v>NO</v>
      </c>
    </row>
    <row r="21" spans="1:24" s="23" customFormat="1" ht="30" customHeight="1" thickBot="1" x14ac:dyDescent="0.3">
      <c r="A21" s="31">
        <v>16</v>
      </c>
      <c r="B21" s="32" t="s">
        <v>38</v>
      </c>
      <c r="C21" s="26" t="str">
        <f t="shared" si="0"/>
        <v>93568410</v>
      </c>
      <c r="D21" s="26" t="str">
        <f t="shared" si="1"/>
        <v>600H</v>
      </c>
      <c r="E21" s="33" t="s">
        <v>37</v>
      </c>
      <c r="F21" s="33" t="s">
        <v>36</v>
      </c>
      <c r="G21" s="27" t="str">
        <f t="shared" si="2"/>
        <v>SAMPER IVORRA, FRANCISCO MANUEL</v>
      </c>
      <c r="H21" s="34">
        <v>20962</v>
      </c>
      <c r="I21" s="27">
        <f t="shared" si="3"/>
        <v>1957</v>
      </c>
      <c r="J21" s="24">
        <f t="shared" si="4"/>
        <v>5</v>
      </c>
      <c r="K21" s="24">
        <f t="shared" si="5"/>
        <v>4</v>
      </c>
      <c r="L21" s="50">
        <f t="shared" ca="1" si="6"/>
        <v>66.694444444444443</v>
      </c>
      <c r="M21" s="61">
        <f t="shared" si="7"/>
        <v>50</v>
      </c>
      <c r="N21" s="35">
        <v>41456</v>
      </c>
      <c r="O21" s="51">
        <f t="shared" si="8"/>
        <v>2013</v>
      </c>
      <c r="P21" s="51">
        <f t="shared" si="9"/>
        <v>7</v>
      </c>
      <c r="Q21" s="29" t="str">
        <f t="shared" si="12"/>
        <v>3º trimestre</v>
      </c>
      <c r="R21" s="31">
        <v>8</v>
      </c>
      <c r="S21" s="27" t="str">
        <f>VLOOKUP(R21,ESTUDIOS!$A$2:$B$24,2,FALSE)</f>
        <v>Estudios basicos: EGB</v>
      </c>
      <c r="T21" s="33" t="s">
        <v>19</v>
      </c>
      <c r="U21" s="33" t="s">
        <v>35</v>
      </c>
      <c r="V21" s="33" t="s">
        <v>34</v>
      </c>
      <c r="W21" s="27" t="str">
        <f t="shared" si="10"/>
        <v/>
      </c>
      <c r="X21" s="30" t="str">
        <f t="shared" si="11"/>
        <v>NO</v>
      </c>
    </row>
    <row r="22" spans="1:24" s="23" customFormat="1" ht="30" customHeight="1" thickBot="1" x14ac:dyDescent="0.3">
      <c r="A22" s="36">
        <v>17</v>
      </c>
      <c r="B22" s="37" t="s">
        <v>33</v>
      </c>
      <c r="C22" s="26" t="str">
        <f t="shared" si="0"/>
        <v>42650690</v>
      </c>
      <c r="D22" s="26" t="str">
        <f t="shared" si="1"/>
        <v>555Y</v>
      </c>
      <c r="E22" s="38" t="s">
        <v>32</v>
      </c>
      <c r="F22" s="38" t="s">
        <v>31</v>
      </c>
      <c r="G22" s="27" t="str">
        <f t="shared" si="2"/>
        <v>MATE MACHADO, JUAN DAVID</v>
      </c>
      <c r="H22" s="39">
        <v>37873</v>
      </c>
      <c r="I22" s="27">
        <f t="shared" si="3"/>
        <v>2003</v>
      </c>
      <c r="J22" s="24">
        <f t="shared" si="4"/>
        <v>9</v>
      </c>
      <c r="K22" s="24">
        <f t="shared" si="5"/>
        <v>3</v>
      </c>
      <c r="L22" s="50">
        <f t="shared" ca="1" si="6"/>
        <v>20.397222222222222</v>
      </c>
      <c r="M22" s="61">
        <f t="shared" si="7"/>
        <v>50</v>
      </c>
      <c r="N22" s="40">
        <v>40940</v>
      </c>
      <c r="O22" s="51">
        <f t="shared" si="8"/>
        <v>2012</v>
      </c>
      <c r="P22" s="51">
        <f t="shared" si="9"/>
        <v>2</v>
      </c>
      <c r="Q22" s="29" t="str">
        <f t="shared" si="12"/>
        <v>1º trimestre</v>
      </c>
      <c r="R22" s="36">
        <v>3</v>
      </c>
      <c r="S22" s="27" t="str">
        <f>VLOOKUP(R22,ESTUDIOS!$A$2:$B$24,2,FALSE)</f>
        <v>Ciencias Sociales y Jurídicas</v>
      </c>
      <c r="T22" s="38" t="s">
        <v>30</v>
      </c>
      <c r="U22" s="38" t="s">
        <v>29</v>
      </c>
      <c r="V22" s="38"/>
      <c r="W22" s="27" t="str">
        <f t="shared" si="10"/>
        <v>TIPO A</v>
      </c>
      <c r="X22" s="30" t="str">
        <f t="shared" si="11"/>
        <v>SI</v>
      </c>
    </row>
    <row r="23" spans="1:24" s="23" customFormat="1" ht="30" customHeight="1" thickBot="1" x14ac:dyDescent="0.3">
      <c r="A23" s="31">
        <v>18</v>
      </c>
      <c r="B23" s="32" t="s">
        <v>28</v>
      </c>
      <c r="C23" s="26" t="str">
        <f t="shared" si="0"/>
        <v>55383516</v>
      </c>
      <c r="D23" s="26" t="str">
        <f t="shared" si="1"/>
        <v>127A</v>
      </c>
      <c r="E23" s="33" t="s">
        <v>27</v>
      </c>
      <c r="F23" s="33" t="s">
        <v>26</v>
      </c>
      <c r="G23" s="27" t="str">
        <f t="shared" si="2"/>
        <v>MARTINEZ GARCIA, TOMAS</v>
      </c>
      <c r="H23" s="34">
        <v>19717</v>
      </c>
      <c r="I23" s="27">
        <f t="shared" si="3"/>
        <v>1953</v>
      </c>
      <c r="J23" s="24">
        <f t="shared" si="4"/>
        <v>12</v>
      </c>
      <c r="K23" s="24">
        <f t="shared" si="5"/>
        <v>5</v>
      </c>
      <c r="L23" s="50">
        <f t="shared" ca="1" si="6"/>
        <v>70.105555555555554</v>
      </c>
      <c r="M23" s="61">
        <f t="shared" si="7"/>
        <v>50</v>
      </c>
      <c r="N23" s="35">
        <v>40544</v>
      </c>
      <c r="O23" s="51">
        <f t="shared" si="8"/>
        <v>2011</v>
      </c>
      <c r="P23" s="51">
        <f t="shared" si="9"/>
        <v>1</v>
      </c>
      <c r="Q23" s="29" t="str">
        <f t="shared" si="12"/>
        <v>1º trimestre</v>
      </c>
      <c r="R23" s="31">
        <v>1</v>
      </c>
      <c r="S23" s="27" t="str">
        <f>VLOOKUP(R23,ESTUDIOS!$A$2:$B$24,2,FALSE)</f>
        <v>Arquitecto</v>
      </c>
      <c r="T23" s="33" t="s">
        <v>25</v>
      </c>
      <c r="U23" s="33" t="s">
        <v>24</v>
      </c>
      <c r="V23" s="33" t="s">
        <v>23</v>
      </c>
      <c r="W23" s="27" t="str">
        <f t="shared" si="10"/>
        <v>TIPO B</v>
      </c>
      <c r="X23" s="30" t="str">
        <f t="shared" si="11"/>
        <v>NO</v>
      </c>
    </row>
    <row r="24" spans="1:24" s="23" customFormat="1" ht="30" customHeight="1" thickBot="1" x14ac:dyDescent="0.3">
      <c r="A24" s="36">
        <v>19</v>
      </c>
      <c r="B24" s="37" t="s">
        <v>22</v>
      </c>
      <c r="C24" s="26" t="str">
        <f t="shared" si="0"/>
        <v>56352127</v>
      </c>
      <c r="D24" s="26" t="str">
        <f t="shared" si="1"/>
        <v>876J</v>
      </c>
      <c r="E24" s="38" t="s">
        <v>21</v>
      </c>
      <c r="F24" s="38" t="s">
        <v>20</v>
      </c>
      <c r="G24" s="27" t="str">
        <f t="shared" si="2"/>
        <v>LEON LOPEZ, JUAN FRANCISCO</v>
      </c>
      <c r="H24" s="39">
        <v>19387</v>
      </c>
      <c r="I24" s="27">
        <f t="shared" si="3"/>
        <v>1953</v>
      </c>
      <c r="J24" s="24">
        <f t="shared" si="4"/>
        <v>1</v>
      </c>
      <c r="K24" s="24">
        <f t="shared" si="5"/>
        <v>4</v>
      </c>
      <c r="L24" s="50">
        <f t="shared" ca="1" si="6"/>
        <v>71.011111111111106</v>
      </c>
      <c r="M24" s="61">
        <f t="shared" si="7"/>
        <v>50</v>
      </c>
      <c r="N24" s="40">
        <v>41306</v>
      </c>
      <c r="O24" s="51">
        <f t="shared" si="8"/>
        <v>2013</v>
      </c>
      <c r="P24" s="51">
        <f t="shared" si="9"/>
        <v>2</v>
      </c>
      <c r="Q24" s="29" t="str">
        <f t="shared" si="12"/>
        <v>1º trimestre</v>
      </c>
      <c r="R24" s="36">
        <v>23</v>
      </c>
      <c r="S24" s="27" t="str">
        <f>VLOOKUP(R24,ESTUDIOS!$A$2:$B$24,2,FALSE)</f>
        <v>Sin estudios</v>
      </c>
      <c r="T24" s="38" t="s">
        <v>19</v>
      </c>
      <c r="U24" s="38" t="s">
        <v>18</v>
      </c>
      <c r="V24" s="38" t="s">
        <v>17</v>
      </c>
      <c r="W24" s="27" t="str">
        <f t="shared" si="10"/>
        <v/>
      </c>
      <c r="X24" s="30" t="str">
        <f t="shared" si="11"/>
        <v>NO</v>
      </c>
    </row>
    <row r="25" spans="1:24" s="23" customFormat="1" ht="30" customHeight="1" thickBot="1" x14ac:dyDescent="0.3">
      <c r="A25" s="31">
        <v>20</v>
      </c>
      <c r="B25" s="32" t="s">
        <v>16</v>
      </c>
      <c r="C25" s="26" t="str">
        <f t="shared" si="0"/>
        <v>50813075</v>
      </c>
      <c r="D25" s="26" t="str">
        <f t="shared" si="1"/>
        <v>654J</v>
      </c>
      <c r="E25" s="33" t="s">
        <v>15</v>
      </c>
      <c r="F25" s="33" t="s">
        <v>14</v>
      </c>
      <c r="G25" s="27" t="str">
        <f t="shared" si="2"/>
        <v>MOTA RODRIGUEZ, VICENTE</v>
      </c>
      <c r="H25" s="34">
        <v>21704</v>
      </c>
      <c r="I25" s="27">
        <f t="shared" si="3"/>
        <v>1959</v>
      </c>
      <c r="J25" s="24">
        <f t="shared" si="4"/>
        <v>6</v>
      </c>
      <c r="K25" s="24">
        <f t="shared" si="5"/>
        <v>4</v>
      </c>
      <c r="L25" s="50">
        <f t="shared" ca="1" si="6"/>
        <v>64.663888888888891</v>
      </c>
      <c r="M25" s="61">
        <f t="shared" si="7"/>
        <v>50</v>
      </c>
      <c r="N25" s="35">
        <v>40544</v>
      </c>
      <c r="O25" s="51">
        <f t="shared" si="8"/>
        <v>2011</v>
      </c>
      <c r="P25" s="51">
        <f t="shared" si="9"/>
        <v>1</v>
      </c>
      <c r="Q25" s="29" t="str">
        <f t="shared" si="12"/>
        <v>1º trimestre</v>
      </c>
      <c r="R25" s="31">
        <v>21</v>
      </c>
      <c r="S25" s="27" t="str">
        <f>VLOOKUP(R25,ESTUDIOS!$A$2:$B$24,2,FALSE)</f>
        <v>Licenciado en Química</v>
      </c>
      <c r="T25" s="33" t="s">
        <v>13</v>
      </c>
      <c r="U25" s="33" t="s">
        <v>12</v>
      </c>
      <c r="V25" s="33"/>
      <c r="W25" s="27" t="str">
        <f t="shared" si="10"/>
        <v/>
      </c>
      <c r="X25" s="30" t="str">
        <f t="shared" si="11"/>
        <v>NO</v>
      </c>
    </row>
    <row r="26" spans="1:24" s="23" customFormat="1" ht="30" customHeight="1" x14ac:dyDescent="0.25">
      <c r="A26" s="41">
        <v>30</v>
      </c>
      <c r="B26" s="42" t="s">
        <v>11</v>
      </c>
      <c r="C26" s="26" t="str">
        <f t="shared" si="0"/>
        <v>72305048</v>
      </c>
      <c r="D26" s="26" t="str">
        <f t="shared" si="1"/>
        <v>999S</v>
      </c>
      <c r="E26" s="43" t="s">
        <v>10</v>
      </c>
      <c r="F26" s="43" t="s">
        <v>9</v>
      </c>
      <c r="G26" s="27" t="str">
        <f t="shared" si="2"/>
        <v>LOPEZ GREGORI, GUSTAVO A.</v>
      </c>
      <c r="H26" s="44">
        <v>37453</v>
      </c>
      <c r="I26" s="27">
        <f t="shared" si="3"/>
        <v>2002</v>
      </c>
      <c r="J26" s="24">
        <f t="shared" si="4"/>
        <v>7</v>
      </c>
      <c r="K26" s="24">
        <f t="shared" si="5"/>
        <v>3</v>
      </c>
      <c r="L26" s="50">
        <f t="shared" ca="1" si="6"/>
        <v>21.544444444444444</v>
      </c>
      <c r="M26" s="61">
        <f t="shared" si="7"/>
        <v>50</v>
      </c>
      <c r="N26" s="45">
        <v>40940</v>
      </c>
      <c r="O26" s="51">
        <f t="shared" si="8"/>
        <v>2012</v>
      </c>
      <c r="P26" s="51">
        <f t="shared" si="9"/>
        <v>2</v>
      </c>
      <c r="Q26" s="29" t="str">
        <f t="shared" si="12"/>
        <v>1º trimestre</v>
      </c>
      <c r="R26" s="41">
        <v>10</v>
      </c>
      <c r="S26" s="27" t="str">
        <f>VLOOKUP(R26,ESTUDIOS!$A$2:$B$24,2,FALSE)</f>
        <v>Ingeniero en Informática</v>
      </c>
      <c r="T26" s="43" t="s">
        <v>8</v>
      </c>
      <c r="U26" s="43" t="s">
        <v>7</v>
      </c>
      <c r="V26" s="43" t="s">
        <v>6</v>
      </c>
      <c r="W26" s="27" t="str">
        <f t="shared" si="10"/>
        <v>TIPO B</v>
      </c>
      <c r="X26" s="30" t="str">
        <f t="shared" si="11"/>
        <v>NO</v>
      </c>
    </row>
    <row r="27" spans="1:24" x14ac:dyDescent="0.25">
      <c r="M27"/>
    </row>
    <row r="28" spans="1:24" x14ac:dyDescent="0.25">
      <c r="M28"/>
    </row>
    <row r="29" spans="1:24" x14ac:dyDescent="0.25">
      <c r="M29"/>
    </row>
    <row r="30" spans="1:24" x14ac:dyDescent="0.25">
      <c r="M30"/>
    </row>
    <row r="31" spans="1:24" x14ac:dyDescent="0.25">
      <c r="M31"/>
    </row>
    <row r="32" spans="1:24" x14ac:dyDescent="0.25">
      <c r="M32"/>
    </row>
    <row r="33" spans="13:13" x14ac:dyDescent="0.25">
      <c r="M33"/>
    </row>
    <row r="34" spans="13:13" x14ac:dyDescent="0.25">
      <c r="M34"/>
    </row>
    <row r="35" spans="13:13" x14ac:dyDescent="0.25">
      <c r="M35"/>
    </row>
    <row r="36" spans="13:13" x14ac:dyDescent="0.25">
      <c r="M36"/>
    </row>
    <row r="37" spans="13:13" x14ac:dyDescent="0.25">
      <c r="M37"/>
    </row>
    <row r="38" spans="13:13" x14ac:dyDescent="0.25">
      <c r="M38"/>
    </row>
    <row r="39" spans="13:13" x14ac:dyDescent="0.25">
      <c r="M39"/>
    </row>
    <row r="40" spans="13:13" x14ac:dyDescent="0.25">
      <c r="M40"/>
    </row>
    <row r="41" spans="13:13" x14ac:dyDescent="0.25">
      <c r="M41"/>
    </row>
    <row r="42" spans="13:13" x14ac:dyDescent="0.25">
      <c r="M42"/>
    </row>
    <row r="43" spans="13:13" x14ac:dyDescent="0.25">
      <c r="M43"/>
    </row>
    <row r="44" spans="13:13" x14ac:dyDescent="0.25">
      <c r="M44"/>
    </row>
    <row r="45" spans="13:13" x14ac:dyDescent="0.25">
      <c r="M45"/>
    </row>
    <row r="46" spans="13:13" x14ac:dyDescent="0.25">
      <c r="M46"/>
    </row>
    <row r="47" spans="13:13" x14ac:dyDescent="0.25">
      <c r="M47"/>
    </row>
  </sheetData>
  <mergeCells count="1">
    <mergeCell ref="H3:J3"/>
  </mergeCells>
  <conditionalFormatting sqref="L1:L1048576">
    <cfRule type="cellIs" dxfId="2" priority="3" operator="between">
      <formula>20</formula>
      <formula>40</formula>
    </cfRule>
  </conditionalFormatting>
  <conditionalFormatting sqref="L6:L26">
    <cfRule type="cellIs" dxfId="1" priority="1" operator="greaterThan">
      <formula>40</formula>
    </cfRule>
    <cfRule type="cellIs" dxfId="0" priority="2" operator="lessThanOrEqual">
      <formula>20</formula>
    </cfRule>
  </conditionalFormatting>
  <printOptions horizontalCentered="1" verticalCentered="1"/>
  <pageMargins left="0.78740157480314965" right="0.78740157480314965" top="0.78740157480314965" bottom="0.78740157480314965" header="0.19685039370078741" footer="0.19685039370078741"/>
  <pageSetup paperSize="9" fitToWidth="3" fitToHeight="3" orientation="landscape" r:id="rId1"/>
  <headerFooter>
    <oddHeader>&amp;C&amp;"-,Negrita Cursiva"&amp;F</oddHeader>
    <oddFooter>&amp;C&amp;P&amp;R&amp;A</oddFooter>
  </headerFooter>
  <rowBreaks count="1" manualBreakCount="1">
    <brk id="1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activeCell="F12" sqref="F12"/>
    </sheetView>
  </sheetViews>
  <sheetFormatPr baseColWidth="10" defaultRowHeight="15" x14ac:dyDescent="0.25"/>
  <cols>
    <col min="3" max="3" width="18.85546875" customWidth="1"/>
    <col min="5" max="5" width="28.85546875" customWidth="1"/>
    <col min="6" max="6" width="17.28515625" customWidth="1"/>
  </cols>
  <sheetData>
    <row r="2" spans="1:8" ht="31.5" x14ac:dyDescent="0.5">
      <c r="A2" s="58" t="s">
        <v>154</v>
      </c>
      <c r="B2" s="58"/>
      <c r="C2" s="58"/>
      <c r="D2" s="58"/>
      <c r="E2" s="58"/>
      <c r="F2" s="58"/>
      <c r="G2" s="58"/>
      <c r="H2" s="58"/>
    </row>
    <row r="4" spans="1:8" ht="15.75" thickBot="1" x14ac:dyDescent="0.3"/>
    <row r="5" spans="1:8" ht="15.75" thickTop="1" x14ac:dyDescent="0.25">
      <c r="C5" s="12"/>
      <c r="D5" s="11"/>
      <c r="E5" s="10" t="s">
        <v>155</v>
      </c>
      <c r="F5" s="19">
        <f>COUNT(CLIENTES!A6:A26)</f>
        <v>21</v>
      </c>
    </row>
    <row r="6" spans="1:8" x14ac:dyDescent="0.25">
      <c r="C6" s="9"/>
      <c r="D6" s="8"/>
      <c r="E6" s="6" t="s">
        <v>5</v>
      </c>
      <c r="F6" s="20">
        <f>COUNTIF(CLIENTES!T6:T26,"Alicante")</f>
        <v>4</v>
      </c>
    </row>
    <row r="7" spans="1:8" x14ac:dyDescent="0.25">
      <c r="C7" s="9"/>
      <c r="D7" s="8"/>
      <c r="E7" s="6" t="s">
        <v>4</v>
      </c>
      <c r="F7" s="20">
        <f>COUNTIF(CLIENTES!V6:V26,"")</f>
        <v>5</v>
      </c>
    </row>
    <row r="8" spans="1:8" x14ac:dyDescent="0.25">
      <c r="C8" s="9"/>
      <c r="D8" s="8"/>
      <c r="E8" s="6" t="s">
        <v>3</v>
      </c>
      <c r="F8" s="20">
        <f ca="1">MAX(CLIENTES!L:L)</f>
        <v>87.4</v>
      </c>
    </row>
    <row r="9" spans="1:8" x14ac:dyDescent="0.25">
      <c r="C9" s="9"/>
      <c r="D9" s="8"/>
      <c r="E9" s="6" t="s">
        <v>2</v>
      </c>
      <c r="F9" s="59">
        <f ca="1">MIN(CLIENTES!L:L)</f>
        <v>20.397222222222222</v>
      </c>
    </row>
    <row r="10" spans="1:8" x14ac:dyDescent="0.25">
      <c r="C10" s="9"/>
      <c r="D10" s="8"/>
      <c r="E10" s="6" t="s">
        <v>160</v>
      </c>
      <c r="F10" s="20">
        <f>COUNTIF(CLIENTES!S:S,"Ingeniero en Química")</f>
        <v>0</v>
      </c>
    </row>
    <row r="11" spans="1:8" x14ac:dyDescent="0.25">
      <c r="C11" s="7"/>
      <c r="D11" s="5"/>
      <c r="E11" s="6" t="s">
        <v>1</v>
      </c>
      <c r="F11" s="20">
        <f>COUNTIFS(CLIENTES!I:I,1960,CLIENTES!T:T,"Callosa de Segura")</f>
        <v>2</v>
      </c>
    </row>
    <row r="12" spans="1:8" x14ac:dyDescent="0.25">
      <c r="C12" s="7"/>
      <c r="D12" s="5"/>
      <c r="E12" s="6" t="s">
        <v>159</v>
      </c>
      <c r="F12" s="21">
        <f>COUNTIF(CLIENTES!T:T,"Aspe")</f>
        <v>4</v>
      </c>
    </row>
    <row r="13" spans="1:8" ht="15.75" thickBot="1" x14ac:dyDescent="0.3">
      <c r="C13" s="4"/>
      <c r="D13" s="3"/>
      <c r="E13" s="2" t="s">
        <v>0</v>
      </c>
      <c r="F13" s="60">
        <f ca="1">AVERAGEIF(CLIENTES!T6:T26,"Torrent",CLIENTES!L:L)</f>
        <v>65.477777777777774</v>
      </c>
    </row>
    <row r="14" spans="1:8" ht="15.75" thickTop="1" x14ac:dyDescent="0.25"/>
  </sheetData>
  <mergeCells count="1">
    <mergeCell ref="A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ESTUDIOS</vt:lpstr>
      <vt:lpstr>CLIENTES</vt:lpstr>
      <vt:lpstr>RESUMEN ESTADÍSTICO</vt:lpstr>
      <vt:lpstr>CLIENTES!Área_de_impresión</vt:lpstr>
      <vt:lpstr>CLIENTES!Títulos_a_imprimir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isuarezruz66@gmail.com</dc:creator>
  <cp:lastModifiedBy>SMR1</cp:lastModifiedBy>
  <cp:lastPrinted>2024-02-02T09:28:59Z</cp:lastPrinted>
  <dcterms:created xsi:type="dcterms:W3CDTF">2022-02-08T08:32:03Z</dcterms:created>
  <dcterms:modified xsi:type="dcterms:W3CDTF">2024-02-02T09:29:10Z</dcterms:modified>
</cp:coreProperties>
</file>