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Development/PycharmProjects/ppt-plan-visual/source/tests/test_resources/unit_test_01/input_files/"/>
    </mc:Choice>
  </mc:AlternateContent>
  <xr:revisionPtr revIDLastSave="0" documentId="13_ncr:1_{17E99ECA-6C87-2646-8A8C-C9B6CA4528BE}" xr6:coauthVersionLast="47" xr6:coauthVersionMax="47" xr10:uidLastSave="{00000000-0000-0000-0000-000000000000}"/>
  <bookViews>
    <workbookView xWindow="0" yWindow="0" windowWidth="33600" windowHeight="21000" activeTab="4" xr2:uid="{974F07DA-9A00-0C4E-BD47-E61A1ACCDB18}"/>
  </bookViews>
  <sheets>
    <sheet name="PlotConfig" sheetId="1" r:id="rId1"/>
    <sheet name="FormatConfig" sheetId="2" r:id="rId2"/>
    <sheet name="Swimlanes" sheetId="4" r:id="rId3"/>
    <sheet name="Lookup" sheetId="3" r:id="rId4"/>
    <sheet name="Plan" sheetId="5" r:id="rId5"/>
  </sheets>
  <definedNames>
    <definedName name="_xlnm._FilterDatabase" localSheetId="4" hidden="1">Plan!$D$1:$D$16</definedName>
    <definedName name="Activity_Shape">PlotConfig!$N$2</definedName>
    <definedName name="Activity_Text_Width">PlotConfig!$L$2</definedName>
    <definedName name="Bottom">PlotConfig!$D$2</definedName>
    <definedName name="Config_Name">PlotConfig!$A$2</definedName>
    <definedName name="Left">PlotConfig!$C$2</definedName>
    <definedName name="Max_Date">PlotConfig!$I$2</definedName>
    <definedName name="Milestone_Shape">PlotConfig!$O$2</definedName>
    <definedName name="Milestone_Text_Width">PlotConfig!$K$2</definedName>
    <definedName name="Milestone_Width">PlotConfig!$J$2</definedName>
    <definedName name="Min_Date">PlotConfig!$H$2</definedName>
    <definedName name="Right">PlotConfig!$E$2</definedName>
    <definedName name="Start_Date">Plan!#REF!</definedName>
    <definedName name="Text_Margin">PlotConfig!$M$2</definedName>
    <definedName name="Top">PlotConfig!$B$2</definedName>
    <definedName name="Track_Gap">PlotConfig!$G$2</definedName>
    <definedName name="Track_Height">PlotConfig!$F$2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K2" i="5" l="1"/>
  <c r="AK3" i="5"/>
  <c r="AK4" i="5"/>
  <c r="AK5" i="5"/>
  <c r="AJ2" i="5"/>
  <c r="AJ3" i="5"/>
  <c r="AJ4" i="5"/>
  <c r="AJ5" i="5"/>
  <c r="T2" i="5"/>
  <c r="T3" i="5"/>
  <c r="T4" i="5"/>
  <c r="T5" i="5"/>
  <c r="W2" i="5"/>
  <c r="AD2" i="5" s="1"/>
  <c r="W3" i="5"/>
  <c r="AF3" i="5" s="1"/>
  <c r="W4" i="5"/>
  <c r="AF4" i="5" s="1"/>
  <c r="W5" i="5"/>
  <c r="P2" i="5"/>
  <c r="P3" i="5"/>
  <c r="P4" i="5"/>
  <c r="P5" i="5"/>
  <c r="O2" i="5"/>
  <c r="O3" i="5"/>
  <c r="O4" i="5"/>
  <c r="O5" i="5"/>
  <c r="S5" i="5"/>
  <c r="X5" i="5"/>
  <c r="V5" i="5"/>
  <c r="Y5" i="5"/>
  <c r="Y2" i="5"/>
  <c r="Y3" i="5"/>
  <c r="Y4" i="5"/>
  <c r="X2" i="5"/>
  <c r="X3" i="5"/>
  <c r="X4" i="5"/>
  <c r="V2" i="5"/>
  <c r="V3" i="5"/>
  <c r="V4" i="5"/>
  <c r="S2" i="5"/>
  <c r="S3" i="5"/>
  <c r="S4" i="5"/>
  <c r="Q4" i="2"/>
  <c r="P4" i="2"/>
  <c r="O4" i="2"/>
  <c r="J4" i="2"/>
  <c r="I4" i="2"/>
  <c r="H4" i="2"/>
  <c r="G4" i="2"/>
  <c r="F4" i="2"/>
  <c r="E4" i="2"/>
  <c r="C9" i="2"/>
  <c r="I9" i="2" s="1"/>
  <c r="O9" i="2"/>
  <c r="P9" i="2"/>
  <c r="Q9" i="2"/>
  <c r="E9" i="2"/>
  <c r="F9" i="2"/>
  <c r="G9" i="2"/>
  <c r="AI3" i="5" l="1"/>
  <c r="AG4" i="5"/>
  <c r="AG3" i="5"/>
  <c r="AG2" i="5"/>
  <c r="AA5" i="5"/>
  <c r="AG5" i="5"/>
  <c r="AI4" i="5"/>
  <c r="AI2" i="5"/>
  <c r="AE5" i="5"/>
  <c r="AD4" i="5"/>
  <c r="AE4" i="5"/>
  <c r="AE3" i="5"/>
  <c r="AD3" i="5"/>
  <c r="AE2" i="5"/>
  <c r="AF2" i="5"/>
  <c r="AD5" i="5"/>
  <c r="U5" i="5"/>
  <c r="U4" i="5"/>
  <c r="AA4" i="5" s="1"/>
  <c r="U3" i="5"/>
  <c r="AA3" i="5" s="1"/>
  <c r="U2" i="5"/>
  <c r="AM2" i="5" s="1"/>
  <c r="H9" i="2"/>
  <c r="J9" i="2"/>
  <c r="Z3" i="5" l="1"/>
  <c r="AC3" i="5" s="1"/>
  <c r="AP3" i="5" s="1"/>
  <c r="AM3" i="5"/>
  <c r="Z4" i="5"/>
  <c r="AC4" i="5" s="1"/>
  <c r="AM4" i="5"/>
  <c r="Z5" i="5"/>
  <c r="AC5" i="5" s="1"/>
  <c r="AM5" i="5"/>
  <c r="AA2" i="5"/>
  <c r="AL3" i="5"/>
  <c r="AO3" i="5" s="1"/>
  <c r="AL5" i="5"/>
  <c r="AL4" i="5"/>
  <c r="Z2" i="5"/>
  <c r="AL2" i="5"/>
  <c r="AO2" i="5" s="1"/>
  <c r="AF5" i="5"/>
  <c r="AI5" i="5" s="1"/>
  <c r="C2" i="2"/>
  <c r="J2" i="2" s="1"/>
  <c r="E2" i="2"/>
  <c r="F2" i="2"/>
  <c r="G2" i="2"/>
  <c r="H2" i="2"/>
  <c r="I2" i="2"/>
  <c r="O2" i="2"/>
  <c r="P2" i="2"/>
  <c r="Q2" i="2"/>
  <c r="O5" i="2"/>
  <c r="P5" i="2"/>
  <c r="Q5" i="2"/>
  <c r="O6" i="2"/>
  <c r="P6" i="2"/>
  <c r="Q6" i="2"/>
  <c r="O7" i="2"/>
  <c r="P7" i="2"/>
  <c r="Q7" i="2"/>
  <c r="O8" i="2"/>
  <c r="P8" i="2"/>
  <c r="Q8" i="2"/>
  <c r="F5" i="2"/>
  <c r="G5" i="2"/>
  <c r="F6" i="2"/>
  <c r="G6" i="2"/>
  <c r="F7" i="2"/>
  <c r="G7" i="2"/>
  <c r="F8" i="2"/>
  <c r="G8" i="2"/>
  <c r="E5" i="2"/>
  <c r="E6" i="2"/>
  <c r="E7" i="2"/>
  <c r="E8" i="2"/>
  <c r="C5" i="2"/>
  <c r="J5" i="2" s="1"/>
  <c r="C6" i="2"/>
  <c r="I6" i="2" s="1"/>
  <c r="C7" i="2"/>
  <c r="I7" i="2" s="1"/>
  <c r="C8" i="2"/>
  <c r="I8" i="2" s="1"/>
  <c r="AC2" i="5" l="1"/>
  <c r="AO4" i="5"/>
  <c r="AP4" i="5" s="1"/>
  <c r="AO5" i="5"/>
  <c r="AP5" i="5" s="1"/>
  <c r="AP2" i="5"/>
  <c r="H6" i="2"/>
  <c r="I5" i="2"/>
  <c r="H5" i="2"/>
  <c r="J6" i="2"/>
  <c r="H7" i="2"/>
  <c r="H8" i="2"/>
  <c r="J8" i="2"/>
  <c r="J7" i="2"/>
  <c r="E3" i="2"/>
  <c r="G3" i="2"/>
  <c r="F3" i="2"/>
  <c r="I3" i="2"/>
  <c r="Q3" i="2"/>
  <c r="J3" i="2" l="1"/>
  <c r="O3" i="2"/>
  <c r="H3" i="2"/>
  <c r="P3" i="2"/>
</calcChain>
</file>

<file path=xl/sharedStrings.xml><?xml version="1.0" encoding="utf-8"?>
<sst xmlns="http://schemas.openxmlformats.org/spreadsheetml/2006/main" count="146" uniqueCount="108">
  <si>
    <t>Top</t>
  </si>
  <si>
    <t>Left</t>
  </si>
  <si>
    <t>Bottom</t>
  </si>
  <si>
    <t>Format Name</t>
  </si>
  <si>
    <t>Fill Red</t>
  </si>
  <si>
    <t>Fill Green</t>
  </si>
  <si>
    <t>Fill Blue</t>
  </si>
  <si>
    <t>Line Red</t>
  </si>
  <si>
    <t>Line Green</t>
  </si>
  <si>
    <t>Line Blue</t>
  </si>
  <si>
    <t>Corner Radius (Cm)</t>
  </si>
  <si>
    <t>Font Size (Pt)</t>
  </si>
  <si>
    <t>Font Bold</t>
  </si>
  <si>
    <t>Font Italic</t>
  </si>
  <si>
    <t>Text Vertical Align</t>
  </si>
  <si>
    <t>Font Red</t>
  </si>
  <si>
    <t>Font Green</t>
  </si>
  <si>
    <t>Font Blue</t>
  </si>
  <si>
    <t>middle</t>
  </si>
  <si>
    <t>Fill Colour Id</t>
  </si>
  <si>
    <t>Line Colour Id</t>
  </si>
  <si>
    <t>Font Colour Id</t>
  </si>
  <si>
    <t>Red</t>
  </si>
  <si>
    <t>Green</t>
  </si>
  <si>
    <t>Blue</t>
  </si>
  <si>
    <t>Id</t>
  </si>
  <si>
    <t>DarkBlue</t>
  </si>
  <si>
    <t>Amber</t>
  </si>
  <si>
    <t>DarkRed</t>
  </si>
  <si>
    <t>DarkAmber</t>
  </si>
  <si>
    <t>Right</t>
  </si>
  <si>
    <t>Track Height</t>
  </si>
  <si>
    <t>Track Gap</t>
  </si>
  <si>
    <t>Min Date</t>
  </si>
  <si>
    <t>Max Date</t>
  </si>
  <si>
    <t>Milestone Width</t>
  </si>
  <si>
    <t>Milestone Text Width</t>
  </si>
  <si>
    <t>Activity Text Width</t>
  </si>
  <si>
    <t>White</t>
  </si>
  <si>
    <t>Light Blue</t>
  </si>
  <si>
    <t>Config Name</t>
  </si>
  <si>
    <t>UK View Plan 01</t>
  </si>
  <si>
    <t>swimlane_format_odd</t>
  </si>
  <si>
    <t>Light Grey</t>
  </si>
  <si>
    <t>Grey</t>
  </si>
  <si>
    <t>swimlane_format_even</t>
  </si>
  <si>
    <t>top</t>
  </si>
  <si>
    <t>Swimlane</t>
  </si>
  <si>
    <t>month_shape_format_even</t>
  </si>
  <si>
    <t>month_shape_format_odd</t>
  </si>
  <si>
    <t>Light Green</t>
  </si>
  <si>
    <t>Very Light Green</t>
  </si>
  <si>
    <t>Default</t>
  </si>
  <si>
    <t>Bright Yellow</t>
  </si>
  <si>
    <t>Text Margin</t>
  </si>
  <si>
    <t>today_line</t>
  </si>
  <si>
    <t>Activity Shape</t>
  </si>
  <si>
    <t>Milestone Shape</t>
  </si>
  <si>
    <t>rectangle</t>
  </si>
  <si>
    <t>diamond</t>
  </si>
  <si>
    <t>Test Config 01</t>
  </si>
  <si>
    <t>Test Config 02</t>
  </si>
  <si>
    <t>Main</t>
  </si>
  <si>
    <t>Shape</t>
  </si>
  <si>
    <t>Activity 03</t>
  </si>
  <si>
    <t>Activity 02</t>
  </si>
  <si>
    <t>Activity 01</t>
  </si>
  <si>
    <t>Done Format String</t>
  </si>
  <si>
    <t>Format String</t>
  </si>
  <si>
    <t>Text Layout</t>
  </si>
  <si>
    <t>Visual # Tracks To Cover</t>
  </si>
  <si>
    <t>Visual Track # Within Swimlane</t>
  </si>
  <si>
    <t>Visual Swimlane</t>
  </si>
  <si>
    <t>Visual Flag</t>
  </si>
  <si>
    <t>Finish</t>
  </si>
  <si>
    <t>Start</t>
  </si>
  <si>
    <t>Duration</t>
  </si>
  <si>
    <t>Visual Text</t>
  </si>
  <si>
    <t>Task Name</t>
  </si>
  <si>
    <t>Visual Width</t>
  </si>
  <si>
    <t>Num Visual Months</t>
  </si>
  <si>
    <t>Visual Start</t>
  </si>
  <si>
    <t>Visual Finish</t>
  </si>
  <si>
    <t>Day Width</t>
  </si>
  <si>
    <t>Num Visual Days</t>
  </si>
  <si>
    <t>Points Per Cm</t>
  </si>
  <si>
    <t>Activity 04</t>
  </si>
  <si>
    <t>Today</t>
  </si>
  <si>
    <t>Num Shapes</t>
  </si>
  <si>
    <t>Graphic 1 Top</t>
  </si>
  <si>
    <t>Graphic 1 Days From Left</t>
  </si>
  <si>
    <t>Graphic 1 Left</t>
  </si>
  <si>
    <t>Graphic 1 Export</t>
  </si>
  <si>
    <t>Graphic 2 Days From Left</t>
  </si>
  <si>
    <t>Graphic 2 Top</t>
  </si>
  <si>
    <t>Graphic 2 Left</t>
  </si>
  <si>
    <t>Graphic 2 Export</t>
  </si>
  <si>
    <t>Text Days From Left</t>
  </si>
  <si>
    <t>Text Left</t>
  </si>
  <si>
    <t>Text Export</t>
  </si>
  <si>
    <t>Text Top</t>
  </si>
  <si>
    <t>Graphic 1 Width</t>
  </si>
  <si>
    <t>Graphic 2 Width</t>
  </si>
  <si>
    <t>Text Width</t>
  </si>
  <si>
    <t>Graphic 1 Top, Graphic 1 Left, Graphic 1 Width, Graphic 2 Top, Graphic 2 Left, Graphic 2 Width, Text Top, Text Left, Text Width</t>
  </si>
  <si>
    <t>Graphic 1 Height</t>
  </si>
  <si>
    <t>Text Height</t>
  </si>
  <si>
    <t>Graphic 2 Height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</si>
</sst>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8B0C"/>
        <bgColor indexed="64"/>
      </patternFill>
    </fill>
    <fill>
      <patternFill patternType="solid">
        <fgColor rgb="FF203864"/>
        <bgColor indexed="64"/>
      </patternFill>
    </fill>
    <fill>
      <patternFill patternType="solid">
        <fgColor rgb="FF3232C8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Alignment="1">
      <alignment vertical="center" wrapText="1"/>
    </xf>
    <xf numFmtId="14" fontId="0" fillId="0" borderId="0" xfId="0" applyNumberFormat="1"/>
    <xf numFmtId="0" fontId="0" fillId="5" borderId="0" xfId="0" applyFill="1"/>
    <xf numFmtId="0" fontId="0" fillId="0" borderId="0" xfId="0" applyNumberFormat="1"/>
    <xf numFmtId="0" fontId="0" fillId="0" borderId="0" xfId="0" applyNumberFormat="1" applyAlignment="1">
      <alignment vertical="center" wrapText="1"/>
    </xf>
    <xf numFmtId="0" fontId="0" fillId="6" borderId="0" xfId="0" applyFill="1"/>
    <xf numFmtId="0" fontId="0" fillId="0" borderId="1" xfId="0" applyBorder="1"/>
    <xf numFmtId="0" fontId="0" fillId="0" borderId="0" xfId="0" applyBorder="1"/>
  </cellXfs>
  <cellStyles count="1">
    <cellStyle name="Normal" xfId="0" builtinId="0"/>
  </cellStyles>
  <dxfs count="43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general" vertical="center" textRotation="0" wrapText="1" indent="0" justifyLastLine="0" shrinkToFit="0" readingOrder="0"/>
    </dxf>
    <dxf>
      <numFmt numFmtId="19" formatCode="dd/mm/yyyy"/>
    </dxf>
    <dxf>
      <numFmt numFmtId="19" formatCode="dd/mm/yyyy"/>
    </dxf>
  </dxfs>
  <tableStyles count="0" defaultTableStyle="TableStyleMedium2" defaultPivotStyle="PivotStyleLight16"/>
  <colors>
    <mruColors>
      <color rgb="FF00B0F0"/>
      <color rgb="FF3232C8"/>
      <color rgb="FF203864"/>
      <color rgb="FFFF8B0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2D8C7F1-A40D-B84A-B167-18414EE05B9E}" name="Table3" displayName="Table3" ref="A1:O2" totalsRowShown="0">
  <autoFilter ref="A1:O2" xr:uid="{4C13D900-99DE-CD49-90E4-A4A01CC29EF7}"/>
  <tableColumns count="15">
    <tableColumn id="12" xr3:uid="{E936E64D-E95C-C549-981B-D3020B30D1D6}" name="Config Name"/>
    <tableColumn id="1" xr3:uid="{A87BEFC5-527E-9D4F-99BC-7D83FD6E9E16}" name="Top"/>
    <tableColumn id="2" xr3:uid="{525184C9-822C-854C-8176-544574055843}" name="Left"/>
    <tableColumn id="3" xr3:uid="{0CB8BB1A-3D14-BE43-BAC4-4F66E456F433}" name="Bottom"/>
    <tableColumn id="4" xr3:uid="{3C82CB69-4E34-DD4B-B0A2-5D794D05BD5F}" name="Right"/>
    <tableColumn id="5" xr3:uid="{33F60B0D-B994-F348-9DAF-DFF7CFD3C78B}" name="Track Height"/>
    <tableColumn id="6" xr3:uid="{AA4C59A1-6ABE-474E-9F4F-9B240F8E7592}" name="Track Gap"/>
    <tableColumn id="7" xr3:uid="{6E28CFEC-9841-B74D-8D8D-A1FF3D3EAB92}" name="Min Date" dataDxfId="42"/>
    <tableColumn id="8" xr3:uid="{62CFE236-4C1D-3343-BE40-92CE54A9CD9F}" name="Max Date" dataDxfId="41"/>
    <tableColumn id="9" xr3:uid="{A02F0B81-3578-BB4B-91F7-2CCC8627BEB1}" name="Milestone Width"/>
    <tableColumn id="10" xr3:uid="{FAA856D7-2A25-154B-974D-DE2E1A6BFDA7}" name="Milestone Text Width"/>
    <tableColumn id="11" xr3:uid="{981EC195-CF67-E445-A73F-CEFD0B8E8A7B}" name="Activity Text Width"/>
    <tableColumn id="13" xr3:uid="{4A2BEF5C-81D6-3A44-91A1-3E8A4AD1852E}" name="Text Margin"/>
    <tableColumn id="14" xr3:uid="{09E38A44-6D0A-7A46-9981-9E0ADDDA02B6}" name="Activity Shape"/>
    <tableColumn id="15" xr3:uid="{95756420-294D-734D-BD95-3B75166D8357}" name="Milestone Shap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DFA5499-3D72-FD4D-98A8-9A364D6A060E}" name="Table1" displayName="Table1" ref="A1:R9" totalsRowShown="0" headerRowDxfId="40">
  <autoFilter ref="A1:R9" xr:uid="{E2FE5099-2205-2446-9D79-AE0D6D124131}"/>
  <tableColumns count="18">
    <tableColumn id="1" xr3:uid="{6F657443-D392-9749-8D22-77937F3594B4}" name="Format Name"/>
    <tableColumn id="18" xr3:uid="{A1AE67FA-1135-E249-8708-8700254B6C5E}" name="Fill Colour Id"/>
    <tableColumn id="19" xr3:uid="{A4F1695D-EF2E-894B-B345-7232CA996486}" name="Line Colour Id" dataDxfId="39">
      <calculatedColumnFormula>Table1[[#This Row],[Fill Colour Id]]</calculatedColumnFormula>
    </tableColumn>
    <tableColumn id="20" xr3:uid="{97389AAA-8E2F-3E46-84CB-DE9C3886C50D}" name="Font Colour Id" dataDxfId="38"/>
    <tableColumn id="2" xr3:uid="{7A6165F6-6522-4641-AD20-8BFC998689C5}" name="Fill Red" dataDxfId="37">
      <calculatedColumnFormula>_xlfn.XLOOKUP(Table1[[#This Row],[Fill Colour Id]],ColourLookup[Id],ColourLookup[Red],"xxx",0)</calculatedColumnFormula>
    </tableColumn>
    <tableColumn id="3" xr3:uid="{56111E36-3ADB-5840-8505-3797E3CE7487}" name="Fill Green" dataDxfId="36">
      <calculatedColumnFormula>_xlfn.XLOOKUP(Table1[[#This Row],[Fill Colour Id]],ColourLookup[Id],ColourLookup[Green],"xxx",0)</calculatedColumnFormula>
    </tableColumn>
    <tableColumn id="4" xr3:uid="{D38157EA-874F-2947-9B77-2FE04EF7B6E4}" name="Fill Blue" dataDxfId="35">
      <calculatedColumnFormula>_xlfn.XLOOKUP(Table1[[#This Row],[Fill Colour Id]],ColourLookup[Id],ColourLookup[Blue],"xxx",0)</calculatedColumnFormula>
    </tableColumn>
    <tableColumn id="5" xr3:uid="{28D5DE83-7F52-6740-8522-D51043E0F7CB}" name="Line Red" dataDxfId="34">
      <calculatedColumnFormula>_xlfn.XLOOKUP(Table1[[#This Row],[Line Colour Id]],ColourLookup[Id],ColourLookup[Red],"xxx",0)</calculatedColumnFormula>
    </tableColumn>
    <tableColumn id="6" xr3:uid="{24678273-AA26-4148-8430-DDFBC6DB7C13}" name="Line Green" dataDxfId="33">
      <calculatedColumnFormula>_xlfn.XLOOKUP(Table1[[#This Row],[Line Colour Id]],ColourLookup[Id],ColourLookup[Green],"xxx",0)</calculatedColumnFormula>
    </tableColumn>
    <tableColumn id="7" xr3:uid="{5D7C2447-5E29-EC4F-8072-2DC6D9510081}" name="Line Blue" dataDxfId="32">
      <calculatedColumnFormula>_xlfn.XLOOKUP(Table1[[#This Row],[Line Colour Id]],ColourLookup[Id],ColourLookup[Blue],"xxx",0)</calculatedColumnFormula>
    </tableColumn>
    <tableColumn id="8" xr3:uid="{51A1C6F6-14EE-C34E-84CA-DE7646C2274A}" name="Corner Radius (Cm)"/>
    <tableColumn id="9" xr3:uid="{6AB14E61-99B1-B244-BCA2-D862AF5D9E34}" name="Font Size (Pt)"/>
    <tableColumn id="10" xr3:uid="{E2F3AF6B-435F-FC4A-BA6B-5C9307692438}" name="Font Bold"/>
    <tableColumn id="11" xr3:uid="{948FF9F8-AEEA-7440-A660-75BC0C3A997A}" name="Font Italic"/>
    <tableColumn id="12" xr3:uid="{C4967D4B-CAA6-BC41-B179-E0688B21C6D2}" name="Font Red" dataDxfId="31">
      <calculatedColumnFormula>_xlfn.XLOOKUP(Table1[[#This Row],[Font Colour Id]],ColourLookup[Id],ColourLookup[Red],"xxx",0)</calculatedColumnFormula>
    </tableColumn>
    <tableColumn id="13" xr3:uid="{D242A51C-0847-8443-A306-5735B880BC86}" name="Font Green" dataDxfId="30">
      <calculatedColumnFormula>_xlfn.XLOOKUP(Table1[[#This Row],[Font Colour Id]],ColourLookup[Id],ColourLookup[Green],"xxx",0)</calculatedColumnFormula>
    </tableColumn>
    <tableColumn id="14" xr3:uid="{090E4691-DD9F-C744-92B7-E7EDD88FBC44}" name="Font Blue" dataDxfId="29">
      <calculatedColumnFormula>_xlfn.XLOOKUP(Table1[[#This Row],[Font Colour Id]],ColourLookup[Id],ColourLookup[Blue],"xxx",0)</calculatedColumnFormula>
    </tableColumn>
    <tableColumn id="17" xr3:uid="{7DA58C0D-D13F-4440-8792-3A5B7AF2004D}" name="Text Vertical Align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7923C1B-A2DD-8B47-9C85-BC36D8A58A4E}" name="Table4" displayName="Table4" ref="A1:A2" totalsRowShown="0">
  <autoFilter ref="A1:A2" xr:uid="{145F9A76-E314-CB45-9022-D43B6A5AEFD7}"/>
  <tableColumns count="1">
    <tableColumn id="1" xr3:uid="{86E7952B-116F-AB44-B547-BFAB0141C3AE}" name="Swimlan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179494D-8760-5249-B9E0-21F69E79BE4F}" name="ColourLookup" displayName="ColourLookup" ref="B4:E18" totalsRowShown="0">
  <autoFilter ref="B4:E18" xr:uid="{B0EF38D6-7D07-5B40-9061-0880C535A9EF}"/>
  <tableColumns count="4">
    <tableColumn id="1" xr3:uid="{68256829-2224-F941-BEE5-17A119DEF6E1}" name="Id"/>
    <tableColumn id="2" xr3:uid="{D6B81555-9CA5-2F45-8E21-4DAB4DB44554}" name="Red"/>
    <tableColumn id="3" xr3:uid="{D3187AA6-025C-D742-B4A9-5DF044A89912}" name="Green"/>
    <tableColumn id="4" xr3:uid="{2C6E550E-4267-5541-BCC7-4E0112706214}" name="Blu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389C7E6-D903-204D-A69B-1B9E0C804015}" name="Table16" displayName="Table16" ref="A1:L5" totalsRowShown="0">
  <autoFilter ref="A1:L5" xr:uid="{94E31D07-C979-BC46-88D8-C174A3004C80}"/>
  <tableColumns count="12">
    <tableColumn id="1" xr3:uid="{CD355BFA-068F-A64A-BFFD-36DB2F65EC92}" name="Task Name"/>
    <tableColumn id="2" xr3:uid="{2ACCD512-6A3D-FC4C-A65F-1CC1108B4A21}" name="Visual Text"/>
    <tableColumn id="3" xr3:uid="{01EC07DC-8306-F04F-9046-7DFFA10F5B43}" name="Duration"/>
    <tableColumn id="4" xr3:uid="{FC6EB61C-7100-B448-9804-603C7E3ABEF3}" name="Start" dataDxfId="28"/>
    <tableColumn id="5" xr3:uid="{E5228417-109C-A846-AF0B-030C79E6E401}" name="Finish" dataDxfId="27"/>
    <tableColumn id="6" xr3:uid="{0D84F3B2-D985-3649-8170-9FD8A89B6B7B}" name="Visual Flag"/>
    <tableColumn id="7" xr3:uid="{4DE64335-5CA3-C14F-836B-CE64DF9836EA}" name="Visual Swimlane"/>
    <tableColumn id="8" xr3:uid="{CF8C0B08-0C4D-E04F-9D8F-5EE6047AEC86}" name="Visual Track # Within Swimlane"/>
    <tableColumn id="9" xr3:uid="{0399BB92-883E-C441-B3D6-26B8AAB62A5D}" name="Visual # Tracks To Cover"/>
    <tableColumn id="10" xr3:uid="{E872D010-2575-154A-B3DC-BC1B261B272B}" name="Text Layout"/>
    <tableColumn id="11" xr3:uid="{0B2F0106-7954-DA47-9541-E9D49B5C3B31}" name="Format String"/>
    <tableColumn id="12" xr3:uid="{0339EBEE-CB19-AA47-885D-D16B1966F96D}" name="Done Format String"/>
  </tableColumns>
  <tableStyleInfo name="TableStyleMedium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5650287-5270-794F-BE83-228189F68705}" name="Table6" displayName="Table6" ref="O1:AP5" totalsRowShown="0">
  <autoFilter ref="O1:AP5" xr:uid="{95650287-5270-794F-BE83-228189F68705}"/>
  <tableColumns count="28">
    <tableColumn id="1" xr3:uid="{A9D36371-651B-694F-A372-8CF380F533EC}" name="Num Visual Months" dataDxfId="20">
      <calculatedColumnFormula>1</calculatedColumnFormula>
    </tableColumn>
    <tableColumn id="9" xr3:uid="{52C6E4C9-BF49-3C41-BC4A-3E05A0279392}" name="Num Visual Days" dataDxfId="19">
      <calculatedColumnFormula>31</calculatedColumnFormula>
    </tableColumn>
    <tableColumn id="2" xr3:uid="{DC65A63A-00D1-A74D-A035-94831A6C664A}" name="Visual Start" dataDxfId="26"/>
    <tableColumn id="3" xr3:uid="{DE63D43B-35E2-1D44-8D4E-E5E3760DF168}" name="Visual Finish" dataDxfId="25"/>
    <tableColumn id="4" xr3:uid="{E8A718C3-23D8-CC4E-B23D-3EBE73F29401}" name="Visual Width" dataDxfId="24">
      <calculatedColumnFormula>Right-Left</calculatedColumnFormula>
    </tableColumn>
    <tableColumn id="12" xr3:uid="{CEF3950D-CB80-6044-B17D-B4B1A8490449}" name="Today" dataDxfId="15">
      <calculatedColumnFormula>DATE(2021,1,5)</calculatedColumnFormula>
    </tableColumn>
    <tableColumn id="5" xr3:uid="{CB9DFFF7-900F-DF4E-A122-4CFDDA1F4267}" name="Day Width" dataDxfId="17">
      <calculatedColumnFormula>Table6[[#This Row],[Visual Width]]/Table6[[#This Row],[Num Visual Days]]</calculatedColumnFormula>
    </tableColumn>
    <tableColumn id="10" xr3:uid="{4D076DCC-8A79-3943-9AD2-5D30AB20496A}" name="Points Per Cm" dataDxfId="14">
      <calculatedColumnFormula>360000</calculatedColumnFormula>
    </tableColumn>
    <tableColumn id="17" xr3:uid="{87B55787-4D49-F347-ACB4-0F290EE69403}" name="Num Shapes" dataDxfId="18">
      <calculatedColumnFormula>IF(Table16[[#This Row],[Done Format String]]="",1,2)</calculatedColumnFormula>
    </tableColumn>
    <tableColumn id="11" xr3:uid="{862BEB4E-A698-DC49-9CAA-B3C33191CD35}" name="Graphic 1 Days From Left" dataDxfId="23">
      <calculatedColumnFormula>Table16[[#This Row],[Start]]-Table6[[#This Row],[Visual Start]]</calculatedColumnFormula>
    </tableColumn>
    <tableColumn id="6" xr3:uid="{63C3F830-DD55-3F47-98B0-94365079404E}" name="Graphic 1 Top" dataDxfId="21">
      <calculatedColumnFormula>ROUND((Top+(Table16[[#This Row],[Visual Track '# Within Swimlane]]-1)*(Track_Height+Track_Gap))*360000,0)</calculatedColumnFormula>
    </tableColumn>
    <tableColumn id="7" xr3:uid="{2B754CAF-25BB-B64C-94DD-01B5925D7AC2}" name="Graphic 1 Left" dataDxfId="22">
      <calculatedColumnFormula>ROUND((Left+Table6[[#This Row],[Graphic 1 Days From Left]]*Table6[[#This Row],[Day Width]])*Table6[[#This Row],[Points Per Cm]],0)</calculatedColumnFormula>
    </tableColumn>
    <tableColumn id="25" xr3:uid="{3134E155-CCEA-6F4A-9ED4-2DEFCF056A3C}" name="Graphic 1 Width" dataDxfId="2">
      <calculatedColumnFormula>ROUND(IF(Table6[[#This Row],[Num Shapes]]=1,(Table16[[#This Row],[Finish]]-Table16[[#This Row],[Start]]+1)*Table6[[#This Row],[Day Width]]*Table6[[#This Row],[Points Per Cm]],(Table6[[#This Row],[Today]]-Table16[[#This Row],[Start]]+1)*Table6[[#This Row],[Day Width]]*Table6[[#This Row],[Points Per Cm]]),0)</calculatedColumnFormula>
    </tableColumn>
    <tableColumn id="28" xr3:uid="{911A5D55-8326-374F-8687-AB79F3FF6EF1}" name="Graphic 1 Height"/>
    <tableColumn id="22" xr3:uid="{B236D0DC-FC55-3C4D-ABEE-6BEA9A987D2D}" name="Graphic 1 Export" dataDxfId="7">
      <calculatedColumnFormula>"("&amp;_xlfn.TEXTJOIN(", ",FALSE, Table6[[#This Row],[Graphic 1 Top]:[Graphic 1 Width]])&amp;")"</calculatedColumnFormula>
    </tableColumn>
    <tableColumn id="13" xr3:uid="{7FD805D4-814F-2C44-9C12-67258071ABEE}" name="Graphic 2 Days From Left" dataDxfId="16">
      <calculatedColumnFormula>IF(Table6[[#This Row],[Num Shapes]]=1,"",Table6[[#This Row],[Today]]-Table6[[#This Row],[Visual Start]])</calculatedColumnFormula>
    </tableColumn>
    <tableColumn id="15" xr3:uid="{0ADBBF0F-A9D7-904E-A22E-A87D6B8B8D63}" name="Graphic 2 Top" dataDxfId="13">
      <calculatedColumnFormula>IF(Table6[[#This Row],[Num Shapes]]=1,"",Table6[[#This Row],[Graphic 1 Top]])</calculatedColumnFormula>
    </tableColumn>
    <tableColumn id="16" xr3:uid="{CFED86F2-256C-E040-9909-052072892A44}" name="Graphic 2 Left" dataDxfId="12">
      <calculatedColumnFormula>IF(Table6[[#This Row],[Num Shapes]]=1,"",ROUND((Left+Table6[[#This Row],[Graphic 2 Days From Left]]*Table6[[#This Row],[Day Width]])*Table6[[#This Row],[Points Per Cm]],0))</calculatedColumnFormula>
    </tableColumn>
    <tableColumn id="26" xr3:uid="{11DD9EDA-17D6-C74C-87A5-05BE6C12E5F2}" name="Graphic 2 Width" dataDxfId="3">
      <calculatedColumnFormula>IF(Table6[[#This Row],[Num Shapes]]=1,"",ROUND((Table16[[#This Row],[Finish]]-Table6[[#This Row],[Today]]+1)*Table6[[#This Row],[Day Width]]*Table6[[#This Row],[Points Per Cm]],0))</calculatedColumnFormula>
    </tableColumn>
    <tableColumn id="29" xr3:uid="{52361BE5-D180-684F-8869-3B29E31A32BC}" name="Graphic 2 Height" dataDxfId="1"/>
    <tableColumn id="23" xr3:uid="{CD08D3CF-34D9-C84F-87E7-D4BBD2711218}" name="Graphic 2 Export" dataDxfId="6">
      <calculatedColumnFormula>IF(Table6[[#This Row],[Num Shapes]]=1,"","("&amp;_xlfn.TEXTJOIN(", ",FALSE, Table6[[#This Row],[Graphic 2 Top]:[Graphic 2 Width]])&amp;")")</calculatedColumnFormula>
    </tableColumn>
    <tableColumn id="18" xr3:uid="{DD10CF7E-CB5E-F34B-AB3C-2FEF6D63CFC4}" name="Text Days From Left" dataDxfId="11">
      <calculatedColumnFormula>Table16[[#This Row],[Start]]-Table6[[#This Row],[Visual Start]]</calculatedColumnFormula>
    </tableColumn>
    <tableColumn id="19" xr3:uid="{251D2619-6DAD-1045-B9A0-8BDEE9B82806}" name="Text Top" dataDxfId="10">
      <calculatedColumnFormula>ROUND((Top+(Table16[[#This Row],[Visual Track '# Within Swimlane]]-1)*(Track_Height+Track_Gap))*360000,0)</calculatedColumnFormula>
    </tableColumn>
    <tableColumn id="20" xr3:uid="{013082E2-ECB6-D649-A1F4-0CDEE6D50347}" name="Text Left" dataDxfId="9">
      <calculatedColumnFormula>ROUND((Left+Table6[[#This Row],[Graphic 1 Days From Left]]*Table6[[#This Row],[Day Width]])*Table6[[#This Row],[Points Per Cm]],0)</calculatedColumnFormula>
    </tableColumn>
    <tableColumn id="27" xr3:uid="{CC791E80-A6A4-1C4F-8038-8C67770BD828}" name="Text Width" dataDxfId="4">
      <calculatedColumnFormula>ROUND((Table16[[#This Row],[Finish]]-Table16[[#This Row],[Start]]+1)*Table6[[#This Row],[Day Width]]*Table6[[#This Row],[Points Per Cm]],0)</calculatedColumnFormula>
    </tableColumn>
    <tableColumn id="30" xr3:uid="{D437B0B7-7561-224C-B00A-43251989860C}" name="Text Height" dataDxfId="0"/>
    <tableColumn id="24" xr3:uid="{BC99535B-484E-854F-AA07-93A4E18F8797}" name="Text Export" dataDxfId="5">
      <calculatedColumnFormula>"("&amp;_xlfn.TEXTJOIN(", ",FALSE, Table6[[#This Row],[Text Top]:[Text Width]])&amp;")"</calculatedColumnFormula>
    </tableColumn>
    <tableColumn id="21" xr3:uid="{62743F9D-847D-3F4E-BC1E-B073C3B3E68A}" name="Graphic 1 Top, Graphic 1 Left, Graphic 1 Width, Graphic 2 Top, Graphic 2 Left, Graphic 2 Width, Text Top, Text Left, Text Width" dataDxfId="8">
      <calculatedColumnFormula>"("&amp;"""Activity"""&amp;", "&amp;""""&amp;Table16[[#This Row],[Task Name]]&amp;""""&amp;", "&amp;"["&amp;_xlfn.TEXTJOIN(", ",TRUE, Table6[[#This Row],[Graphic 1 Export]],Table6[[#This Row],[Graphic 2 Export]],Table6[[#This Row],[Text Export]])&amp;"]"&amp;"),"</calculatedColumnFormula>
    </tableColumn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6ECFF-A927-6847-A86D-24164C2373FE}">
  <sheetPr codeName="Sheet1"/>
  <dimension ref="A1:O2"/>
  <sheetViews>
    <sheetView workbookViewId="0">
      <selection activeCell="E2" sqref="E2"/>
    </sheetView>
  </sheetViews>
  <sheetFormatPr baseColWidth="10" defaultRowHeight="16" x14ac:dyDescent="0.2"/>
  <cols>
    <col min="1" max="1" width="14.6640625" bestFit="1" customWidth="1"/>
    <col min="5" max="5" width="14" customWidth="1"/>
    <col min="6" max="6" width="11.83203125" customWidth="1"/>
    <col min="7" max="7" width="11.1640625" customWidth="1"/>
    <col min="8" max="8" width="11.6640625" customWidth="1"/>
    <col min="9" max="9" width="17.1640625" customWidth="1"/>
    <col min="10" max="10" width="21.33203125" customWidth="1"/>
    <col min="11" max="11" width="19.5" customWidth="1"/>
  </cols>
  <sheetData>
    <row r="1" spans="1:15" x14ac:dyDescent="0.2">
      <c r="A1" t="s">
        <v>40</v>
      </c>
      <c r="B1" t="s">
        <v>0</v>
      </c>
      <c r="C1" t="s">
        <v>1</v>
      </c>
      <c r="D1" t="s">
        <v>2</v>
      </c>
      <c r="E1" t="s">
        <v>30</v>
      </c>
      <c r="F1" t="s">
        <v>31</v>
      </c>
      <c r="G1" t="s">
        <v>32</v>
      </c>
      <c r="H1" t="s">
        <v>33</v>
      </c>
      <c r="I1" t="s">
        <v>34</v>
      </c>
      <c r="J1" t="s">
        <v>35</v>
      </c>
      <c r="K1" t="s">
        <v>36</v>
      </c>
      <c r="L1" t="s">
        <v>37</v>
      </c>
      <c r="M1" t="s">
        <v>54</v>
      </c>
      <c r="N1" t="s">
        <v>56</v>
      </c>
      <c r="O1" t="s">
        <v>57</v>
      </c>
    </row>
    <row r="2" spans="1:15" x14ac:dyDescent="0.2">
      <c r="A2" t="s">
        <v>41</v>
      </c>
      <c r="B2">
        <v>1</v>
      </c>
      <c r="C2">
        <v>2</v>
      </c>
      <c r="D2">
        <v>19</v>
      </c>
      <c r="E2">
        <v>33.869999999999997</v>
      </c>
      <c r="F2">
        <v>0.5</v>
      </c>
      <c r="G2">
        <v>0.1</v>
      </c>
      <c r="H2" s="5"/>
      <c r="I2" s="5"/>
      <c r="J2">
        <v>0.4</v>
      </c>
      <c r="K2">
        <v>7</v>
      </c>
      <c r="L2">
        <v>7</v>
      </c>
      <c r="M2">
        <v>0.1</v>
      </c>
      <c r="N2" t="s">
        <v>58</v>
      </c>
      <c r="O2" t="s">
        <v>59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F4AD7-AF79-4C43-ADFB-779A6ECDD917}">
  <sheetPr codeName="Sheet2"/>
  <dimension ref="A1:R9"/>
  <sheetViews>
    <sheetView topLeftCell="I1" zoomScale="172" workbookViewId="0">
      <selection activeCell="A3" sqref="A3"/>
    </sheetView>
  </sheetViews>
  <sheetFormatPr baseColWidth="10" defaultColWidth="13.6640625" defaultRowHeight="16" x14ac:dyDescent="0.2"/>
  <cols>
    <col min="1" max="1" width="28.33203125" bestFit="1" customWidth="1"/>
  </cols>
  <sheetData>
    <row r="1" spans="1:18" s="4" customFormat="1" ht="34" x14ac:dyDescent="0.2">
      <c r="A1" s="4" t="s">
        <v>3</v>
      </c>
      <c r="B1" s="4" t="s">
        <v>19</v>
      </c>
      <c r="C1" s="4" t="s">
        <v>20</v>
      </c>
      <c r="D1" s="4" t="s">
        <v>21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15</v>
      </c>
      <c r="P1" s="4" t="s">
        <v>16</v>
      </c>
      <c r="Q1" s="4" t="s">
        <v>17</v>
      </c>
      <c r="R1" s="4" t="s">
        <v>14</v>
      </c>
    </row>
    <row r="2" spans="1:18" s="4" customFormat="1" ht="17" x14ac:dyDescent="0.2">
      <c r="A2" s="4" t="s">
        <v>52</v>
      </c>
      <c r="B2" s="4" t="s">
        <v>53</v>
      </c>
      <c r="C2" s="8" t="str">
        <f>Table1[[#This Row],[Fill Colour Id]]</f>
        <v>Bright Yellow</v>
      </c>
      <c r="D2" s="8" t="s">
        <v>24</v>
      </c>
      <c r="E2" s="8">
        <f>_xlfn.XLOOKUP(Table1[[#This Row],[Fill Colour Id]],ColourLookup[Id],ColourLookup[Red],"xxx",0)</f>
        <v>255</v>
      </c>
      <c r="F2" s="8">
        <f>_xlfn.XLOOKUP(Table1[[#This Row],[Fill Colour Id]],ColourLookup[Id],ColourLookup[Green],"xxx",0)</f>
        <v>255</v>
      </c>
      <c r="G2" s="8">
        <f>_xlfn.XLOOKUP(Table1[[#This Row],[Fill Colour Id]],ColourLookup[Id],ColourLookup[Blue],"xxx",0)</f>
        <v>0</v>
      </c>
      <c r="H2" s="8">
        <f>_xlfn.XLOOKUP(Table1[[#This Row],[Line Colour Id]],ColourLookup[Id],ColourLookup[Red],"xxx",0)</f>
        <v>255</v>
      </c>
      <c r="I2" s="8">
        <f>_xlfn.XLOOKUP(Table1[[#This Row],[Line Colour Id]],ColourLookup[Id],ColourLookup[Green],"xxx",0)</f>
        <v>255</v>
      </c>
      <c r="J2" s="8">
        <f>_xlfn.XLOOKUP(Table1[[#This Row],[Line Colour Id]],ColourLookup[Id],ColourLookup[Blue],"xxx",0)</f>
        <v>0</v>
      </c>
      <c r="K2" s="4">
        <v>0</v>
      </c>
      <c r="L2" s="4">
        <v>8</v>
      </c>
      <c r="M2" s="4" t="b">
        <v>0</v>
      </c>
      <c r="N2" s="4" t="b">
        <v>0</v>
      </c>
      <c r="O2" s="8">
        <f>_xlfn.XLOOKUP(Table1[[#This Row],[Font Colour Id]],ColourLookup[Id],ColourLookup[Red],"xxx",0)</f>
        <v>50</v>
      </c>
      <c r="P2" s="8">
        <f>_xlfn.XLOOKUP(Table1[[#This Row],[Font Colour Id]],ColourLookup[Id],ColourLookup[Green],"xxx",0)</f>
        <v>50</v>
      </c>
      <c r="Q2" s="8">
        <f>_xlfn.XLOOKUP(Table1[[#This Row],[Font Colour Id]],ColourLookup[Id],ColourLookup[Blue],"xxx",0)</f>
        <v>200</v>
      </c>
      <c r="R2" s="4" t="s">
        <v>18</v>
      </c>
    </row>
    <row r="3" spans="1:18" x14ac:dyDescent="0.2">
      <c r="A3" t="s">
        <v>60</v>
      </c>
      <c r="B3" t="s">
        <v>26</v>
      </c>
      <c r="C3" t="s">
        <v>38</v>
      </c>
      <c r="D3" t="s">
        <v>24</v>
      </c>
      <c r="E3">
        <f>_xlfn.XLOOKUP(Table1[[#This Row],[Fill Colour Id]],ColourLookup[Id],ColourLookup[Red],"xxx",0)</f>
        <v>32</v>
      </c>
      <c r="F3">
        <f>_xlfn.XLOOKUP(Table1[[#This Row],[Fill Colour Id]],ColourLookup[Id],ColourLookup[Green],"xxx",0)</f>
        <v>56</v>
      </c>
      <c r="G3">
        <f>_xlfn.XLOOKUP(Table1[[#This Row],[Fill Colour Id]],ColourLookup[Id],ColourLookup[Blue],"xxx",0)</f>
        <v>100</v>
      </c>
      <c r="H3">
        <f>_xlfn.XLOOKUP(Table1[[#This Row],[Line Colour Id]],ColourLookup[Id],ColourLookup[Red],"xxx",0)</f>
        <v>255</v>
      </c>
      <c r="I3">
        <f>_xlfn.XLOOKUP(Table1[[#This Row],[Line Colour Id]],ColourLookup[Id],ColourLookup[Green],"xxx",0)</f>
        <v>255</v>
      </c>
      <c r="J3">
        <f>_xlfn.XLOOKUP(Table1[[#This Row],[Line Colour Id]],ColourLookup[Id],ColourLookup[Blue],"xxx",0)</f>
        <v>255</v>
      </c>
      <c r="K3">
        <v>0</v>
      </c>
      <c r="L3">
        <v>8</v>
      </c>
      <c r="M3" s="4" t="b">
        <v>0</v>
      </c>
      <c r="N3" t="b">
        <v>0</v>
      </c>
      <c r="O3">
        <f>_xlfn.XLOOKUP(Table1[[#This Row],[Font Colour Id]],ColourLookup[Id],ColourLookup[Red],"xxx",0)</f>
        <v>50</v>
      </c>
      <c r="P3">
        <f>_xlfn.XLOOKUP(Table1[[#This Row],[Font Colour Id]],ColourLookup[Id],ColourLookup[Green],"xxx",0)</f>
        <v>50</v>
      </c>
      <c r="Q3">
        <f>_xlfn.XLOOKUP(Table1[[#This Row],[Font Colour Id]],ColourLookup[Id],ColourLookup[Blue],"xxx",0)</f>
        <v>200</v>
      </c>
      <c r="R3" t="s">
        <v>18</v>
      </c>
    </row>
    <row r="4" spans="1:18" x14ac:dyDescent="0.2">
      <c r="A4" t="s">
        <v>61</v>
      </c>
      <c r="B4" t="s">
        <v>28</v>
      </c>
      <c r="C4" t="s">
        <v>38</v>
      </c>
      <c r="D4" t="s">
        <v>24</v>
      </c>
      <c r="E4">
        <f>_xlfn.XLOOKUP(Table1[[#This Row],[Fill Colour Id]],ColourLookup[Id],ColourLookup[Red],"xxx",0)</f>
        <v>192</v>
      </c>
      <c r="F4">
        <f>_xlfn.XLOOKUP(Table1[[#This Row],[Fill Colour Id]],ColourLookup[Id],ColourLookup[Green],"xxx",0)</f>
        <v>0</v>
      </c>
      <c r="G4">
        <f>_xlfn.XLOOKUP(Table1[[#This Row],[Fill Colour Id]],ColourLookup[Id],ColourLookup[Blue],"xxx",0)</f>
        <v>0</v>
      </c>
      <c r="H4">
        <f>_xlfn.XLOOKUP(Table1[[#This Row],[Line Colour Id]],ColourLookup[Id],ColourLookup[Red],"xxx",0)</f>
        <v>255</v>
      </c>
      <c r="I4">
        <f>_xlfn.XLOOKUP(Table1[[#This Row],[Line Colour Id]],ColourLookup[Id],ColourLookup[Green],"xxx",0)</f>
        <v>255</v>
      </c>
      <c r="J4">
        <f>_xlfn.XLOOKUP(Table1[[#This Row],[Line Colour Id]],ColourLookup[Id],ColourLookup[Blue],"xxx",0)</f>
        <v>255</v>
      </c>
      <c r="K4">
        <v>0</v>
      </c>
      <c r="L4">
        <v>8</v>
      </c>
      <c r="M4" s="4" t="b">
        <v>0</v>
      </c>
      <c r="N4" t="b">
        <v>0</v>
      </c>
      <c r="O4">
        <f>_xlfn.XLOOKUP(Table1[[#This Row],[Font Colour Id]],ColourLookup[Id],ColourLookup[Red],"xxx",0)</f>
        <v>50</v>
      </c>
      <c r="P4">
        <f>_xlfn.XLOOKUP(Table1[[#This Row],[Font Colour Id]],ColourLookup[Id],ColourLookup[Green],"xxx",0)</f>
        <v>50</v>
      </c>
      <c r="Q4">
        <f>_xlfn.XLOOKUP(Table1[[#This Row],[Font Colour Id]],ColourLookup[Id],ColourLookup[Blue],"xxx",0)</f>
        <v>200</v>
      </c>
      <c r="R4" t="s">
        <v>18</v>
      </c>
    </row>
    <row r="5" spans="1:18" x14ac:dyDescent="0.2">
      <c r="A5" t="s">
        <v>42</v>
      </c>
      <c r="B5" t="s">
        <v>43</v>
      </c>
      <c r="C5" s="7" t="str">
        <f>Table1[[#This Row],[Fill Colour Id]]</f>
        <v>Light Grey</v>
      </c>
      <c r="D5" s="7" t="s">
        <v>44</v>
      </c>
      <c r="E5" s="7">
        <f>_xlfn.XLOOKUP(Table1[[#This Row],[Fill Colour Id]],ColourLookup[Id],ColourLookup[Red],"xxx",0)</f>
        <v>242</v>
      </c>
      <c r="F5" s="7">
        <f>_xlfn.XLOOKUP(Table1[[#This Row],[Fill Colour Id]],ColourLookup[Id],ColourLookup[Green],"xxx",0)</f>
        <v>242</v>
      </c>
      <c r="G5" s="7">
        <f>_xlfn.XLOOKUP(Table1[[#This Row],[Fill Colour Id]],ColourLookup[Id],ColourLookup[Blue],"xxx",0)</f>
        <v>242</v>
      </c>
      <c r="H5" s="7">
        <f>_xlfn.XLOOKUP(Table1[[#This Row],[Line Colour Id]],ColourLookup[Id],ColourLookup[Red],"xxx",0)</f>
        <v>242</v>
      </c>
      <c r="I5" s="7">
        <f>_xlfn.XLOOKUP(Table1[[#This Row],[Line Colour Id]],ColourLookup[Id],ColourLookup[Green],"xxx",0)</f>
        <v>242</v>
      </c>
      <c r="J5" s="7">
        <f>_xlfn.XLOOKUP(Table1[[#This Row],[Line Colour Id]],ColourLookup[Id],ColourLookup[Blue],"xxx",0)</f>
        <v>242</v>
      </c>
      <c r="K5">
        <v>0</v>
      </c>
      <c r="L5">
        <v>14</v>
      </c>
      <c r="M5" s="4" t="b">
        <v>0</v>
      </c>
      <c r="N5" t="b">
        <v>0</v>
      </c>
      <c r="O5" s="7">
        <f>_xlfn.XLOOKUP(Table1[[#This Row],[Font Colour Id]],ColourLookup[Id],ColourLookup[Red],"xxx",0)</f>
        <v>166</v>
      </c>
      <c r="P5" s="7">
        <f>_xlfn.XLOOKUP(Table1[[#This Row],[Font Colour Id]],ColourLookup[Id],ColourLookup[Green],"xxx",0)</f>
        <v>166</v>
      </c>
      <c r="Q5" s="7">
        <f>_xlfn.XLOOKUP(Table1[[#This Row],[Font Colour Id]],ColourLookup[Id],ColourLookup[Blue],"xxx",0)</f>
        <v>166</v>
      </c>
      <c r="R5" t="s">
        <v>46</v>
      </c>
    </row>
    <row r="6" spans="1:18" x14ac:dyDescent="0.2">
      <c r="A6" t="s">
        <v>45</v>
      </c>
      <c r="B6" t="s">
        <v>38</v>
      </c>
      <c r="C6" s="7" t="str">
        <f>Table1[[#This Row],[Fill Colour Id]]</f>
        <v>White</v>
      </c>
      <c r="D6" s="7" t="s">
        <v>44</v>
      </c>
      <c r="E6" s="7">
        <f>_xlfn.XLOOKUP(Table1[[#This Row],[Fill Colour Id]],ColourLookup[Id],ColourLookup[Red],"xxx",0)</f>
        <v>255</v>
      </c>
      <c r="F6" s="7">
        <f>_xlfn.XLOOKUP(Table1[[#This Row],[Fill Colour Id]],ColourLookup[Id],ColourLookup[Green],"xxx",0)</f>
        <v>255</v>
      </c>
      <c r="G6" s="7">
        <f>_xlfn.XLOOKUP(Table1[[#This Row],[Fill Colour Id]],ColourLookup[Id],ColourLookup[Blue],"xxx",0)</f>
        <v>255</v>
      </c>
      <c r="H6" s="7">
        <f>_xlfn.XLOOKUP(Table1[[#This Row],[Line Colour Id]],ColourLookup[Id],ColourLookup[Red],"xxx",0)</f>
        <v>255</v>
      </c>
      <c r="I6" s="7">
        <f>_xlfn.XLOOKUP(Table1[[#This Row],[Line Colour Id]],ColourLookup[Id],ColourLookup[Green],"xxx",0)</f>
        <v>255</v>
      </c>
      <c r="J6" s="7">
        <f>_xlfn.XLOOKUP(Table1[[#This Row],[Line Colour Id]],ColourLookup[Id],ColourLookup[Blue],"xxx",0)</f>
        <v>255</v>
      </c>
      <c r="K6">
        <v>0</v>
      </c>
      <c r="L6">
        <v>14</v>
      </c>
      <c r="M6" s="4" t="b">
        <v>0</v>
      </c>
      <c r="N6" t="b">
        <v>0</v>
      </c>
      <c r="O6" s="7">
        <f>_xlfn.XLOOKUP(Table1[[#This Row],[Font Colour Id]],ColourLookup[Id],ColourLookup[Red],"xxx",0)</f>
        <v>166</v>
      </c>
      <c r="P6" s="7">
        <f>_xlfn.XLOOKUP(Table1[[#This Row],[Font Colour Id]],ColourLookup[Id],ColourLookup[Green],"xxx",0)</f>
        <v>166</v>
      </c>
      <c r="Q6" s="7">
        <f>_xlfn.XLOOKUP(Table1[[#This Row],[Font Colour Id]],ColourLookup[Id],ColourLookup[Blue],"xxx",0)</f>
        <v>166</v>
      </c>
      <c r="R6" t="s">
        <v>46</v>
      </c>
    </row>
    <row r="7" spans="1:18" x14ac:dyDescent="0.2">
      <c r="A7" t="s">
        <v>48</v>
      </c>
      <c r="B7" t="s">
        <v>50</v>
      </c>
      <c r="C7" s="7" t="str">
        <f>Table1[[#This Row],[Fill Colour Id]]</f>
        <v>Light Green</v>
      </c>
      <c r="D7" s="7" t="s">
        <v>26</v>
      </c>
      <c r="E7" s="7">
        <f>_xlfn.XLOOKUP(Table1[[#This Row],[Fill Colour Id]],ColourLookup[Id],ColourLookup[Red],"xxx",0)</f>
        <v>241</v>
      </c>
      <c r="F7" s="7">
        <f>_xlfn.XLOOKUP(Table1[[#This Row],[Fill Colour Id]],ColourLookup[Id],ColourLookup[Green],"xxx",0)</f>
        <v>246</v>
      </c>
      <c r="G7" s="7">
        <f>_xlfn.XLOOKUP(Table1[[#This Row],[Fill Colour Id]],ColourLookup[Id],ColourLookup[Blue],"xxx",0)</f>
        <v>213</v>
      </c>
      <c r="H7" s="7">
        <f>_xlfn.XLOOKUP(Table1[[#This Row],[Line Colour Id]],ColourLookup[Id],ColourLookup[Red],"xxx",0)</f>
        <v>241</v>
      </c>
      <c r="I7" s="7">
        <f>_xlfn.XLOOKUP(Table1[[#This Row],[Line Colour Id]],ColourLookup[Id],ColourLookup[Green],"xxx",0)</f>
        <v>246</v>
      </c>
      <c r="J7" s="7">
        <f>_xlfn.XLOOKUP(Table1[[#This Row],[Line Colour Id]],ColourLookup[Id],ColourLookup[Blue],"xxx",0)</f>
        <v>213</v>
      </c>
      <c r="K7">
        <v>0</v>
      </c>
      <c r="L7">
        <v>14</v>
      </c>
      <c r="M7" s="4" t="b">
        <v>0</v>
      </c>
      <c r="N7" t="b">
        <v>0</v>
      </c>
      <c r="O7" s="7">
        <f>_xlfn.XLOOKUP(Table1[[#This Row],[Font Colour Id]],ColourLookup[Id],ColourLookup[Red],"xxx",0)</f>
        <v>32</v>
      </c>
      <c r="P7" s="7">
        <f>_xlfn.XLOOKUP(Table1[[#This Row],[Font Colour Id]],ColourLookup[Id],ColourLookup[Green],"xxx",0)</f>
        <v>56</v>
      </c>
      <c r="Q7" s="7">
        <f>_xlfn.XLOOKUP(Table1[[#This Row],[Font Colour Id]],ColourLookup[Id],ColourLookup[Blue],"xxx",0)</f>
        <v>100</v>
      </c>
      <c r="R7" t="s">
        <v>18</v>
      </c>
    </row>
    <row r="8" spans="1:18" x14ac:dyDescent="0.2">
      <c r="A8" t="s">
        <v>49</v>
      </c>
      <c r="B8" t="s">
        <v>51</v>
      </c>
      <c r="C8" s="7" t="str">
        <f>Table1[[#This Row],[Fill Colour Id]]</f>
        <v>Very Light Green</v>
      </c>
      <c r="D8" s="7" t="s">
        <v>26</v>
      </c>
      <c r="E8" s="7">
        <f>_xlfn.XLOOKUP(Table1[[#This Row],[Fill Colour Id]],ColourLookup[Id],ColourLookup[Red],"xxx",0)</f>
        <v>214</v>
      </c>
      <c r="F8" s="7">
        <f>_xlfn.XLOOKUP(Table1[[#This Row],[Fill Colour Id]],ColourLookup[Id],ColourLookup[Green],"xxx",0)</f>
        <v>227</v>
      </c>
      <c r="G8" s="7">
        <f>_xlfn.XLOOKUP(Table1[[#This Row],[Fill Colour Id]],ColourLookup[Id],ColourLookup[Blue],"xxx",0)</f>
        <v>130</v>
      </c>
      <c r="H8" s="7">
        <f>_xlfn.XLOOKUP(Table1[[#This Row],[Line Colour Id]],ColourLookup[Id],ColourLookup[Red],"xxx",0)</f>
        <v>214</v>
      </c>
      <c r="I8" s="7">
        <f>_xlfn.XLOOKUP(Table1[[#This Row],[Line Colour Id]],ColourLookup[Id],ColourLookup[Green],"xxx",0)</f>
        <v>227</v>
      </c>
      <c r="J8" s="7">
        <f>_xlfn.XLOOKUP(Table1[[#This Row],[Line Colour Id]],ColourLookup[Id],ColourLookup[Blue],"xxx",0)</f>
        <v>130</v>
      </c>
      <c r="K8">
        <v>0</v>
      </c>
      <c r="L8">
        <v>14</v>
      </c>
      <c r="M8" s="4" t="b">
        <v>0</v>
      </c>
      <c r="N8" t="b">
        <v>0</v>
      </c>
      <c r="O8" s="7">
        <f>_xlfn.XLOOKUP(Table1[[#This Row],[Font Colour Id]],ColourLookup[Id],ColourLookup[Red],"xxx",0)</f>
        <v>32</v>
      </c>
      <c r="P8" s="7">
        <f>_xlfn.XLOOKUP(Table1[[#This Row],[Font Colour Id]],ColourLookup[Id],ColourLookup[Green],"xxx",0)</f>
        <v>56</v>
      </c>
      <c r="Q8" s="7">
        <f>_xlfn.XLOOKUP(Table1[[#This Row],[Font Colour Id]],ColourLookup[Id],ColourLookup[Blue],"xxx",0)</f>
        <v>100</v>
      </c>
      <c r="R8" t="s">
        <v>18</v>
      </c>
    </row>
    <row r="9" spans="1:18" x14ac:dyDescent="0.2">
      <c r="A9" t="s">
        <v>55</v>
      </c>
      <c r="B9" t="s">
        <v>26</v>
      </c>
      <c r="C9" s="7" t="str">
        <f>Table1[[#This Row],[Fill Colour Id]]</f>
        <v>DarkBlue</v>
      </c>
      <c r="D9" s="7" t="s">
        <v>38</v>
      </c>
      <c r="E9" s="7">
        <f>_xlfn.XLOOKUP(Table1[[#This Row],[Fill Colour Id]],ColourLookup[Id],ColourLookup[Red],"xxx",0)</f>
        <v>32</v>
      </c>
      <c r="F9" s="7">
        <f>_xlfn.XLOOKUP(Table1[[#This Row],[Fill Colour Id]],ColourLookup[Id],ColourLookup[Green],"xxx",0)</f>
        <v>56</v>
      </c>
      <c r="G9" s="7">
        <f>_xlfn.XLOOKUP(Table1[[#This Row],[Fill Colour Id]],ColourLookup[Id],ColourLookup[Blue],"xxx",0)</f>
        <v>100</v>
      </c>
      <c r="H9" s="7">
        <f>_xlfn.XLOOKUP(Table1[[#This Row],[Line Colour Id]],ColourLookup[Id],ColourLookup[Red],"xxx",0)</f>
        <v>32</v>
      </c>
      <c r="I9" s="7">
        <f>_xlfn.XLOOKUP(Table1[[#This Row],[Line Colour Id]],ColourLookup[Id],ColourLookup[Green],"xxx",0)</f>
        <v>56</v>
      </c>
      <c r="J9" s="7">
        <f>_xlfn.XLOOKUP(Table1[[#This Row],[Line Colour Id]],ColourLookup[Id],ColourLookup[Blue],"xxx",0)</f>
        <v>100</v>
      </c>
      <c r="K9">
        <v>0</v>
      </c>
      <c r="L9">
        <v>14</v>
      </c>
      <c r="M9" s="4" t="b">
        <v>0</v>
      </c>
      <c r="N9" t="b">
        <v>0</v>
      </c>
      <c r="O9" s="7">
        <f>_xlfn.XLOOKUP(Table1[[#This Row],[Font Colour Id]],ColourLookup[Id],ColourLookup[Red],"xxx",0)</f>
        <v>255</v>
      </c>
      <c r="P9" s="7">
        <f>_xlfn.XLOOKUP(Table1[[#This Row],[Font Colour Id]],ColourLookup[Id],ColourLookup[Green],"xxx",0)</f>
        <v>255</v>
      </c>
      <c r="Q9" s="7">
        <f>_xlfn.XLOOKUP(Table1[[#This Row],[Font Colour Id]],ColourLookup[Id],ColourLookup[Blue],"xxx",0)</f>
        <v>255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2276B-5E13-E645-8067-7362F7A74691}">
  <dimension ref="A1:A2"/>
  <sheetViews>
    <sheetView workbookViewId="0">
      <selection activeCell="A2" sqref="A2"/>
    </sheetView>
  </sheetViews>
  <sheetFormatPr baseColWidth="10" defaultRowHeight="16" x14ac:dyDescent="0.2"/>
  <cols>
    <col min="1" max="1" width="18.1640625" bestFit="1" customWidth="1"/>
  </cols>
  <sheetData>
    <row r="1" spans="1:1" x14ac:dyDescent="0.2">
      <c r="A1" t="s">
        <v>47</v>
      </c>
    </row>
    <row r="2" spans="1:1" x14ac:dyDescent="0.2">
      <c r="A2" t="s">
        <v>62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C3C3C-802C-CC49-AD1C-D701D398B71C}">
  <sheetPr codeName="Sheet3"/>
  <dimension ref="B4:H18"/>
  <sheetViews>
    <sheetView topLeftCell="A3" workbookViewId="0">
      <selection activeCell="C8" sqref="C8"/>
    </sheetView>
  </sheetViews>
  <sheetFormatPr baseColWidth="10" defaultRowHeight="16" x14ac:dyDescent="0.2"/>
  <cols>
    <col min="2" max="2" width="18.1640625" customWidth="1"/>
  </cols>
  <sheetData>
    <row r="4" spans="2:8" x14ac:dyDescent="0.2">
      <c r="B4" t="s">
        <v>25</v>
      </c>
      <c r="C4" t="s">
        <v>22</v>
      </c>
      <c r="D4" t="s">
        <v>23</v>
      </c>
      <c r="E4" t="s">
        <v>24</v>
      </c>
    </row>
    <row r="5" spans="2:8" x14ac:dyDescent="0.2">
      <c r="B5" t="s">
        <v>26</v>
      </c>
      <c r="C5">
        <v>32</v>
      </c>
      <c r="D5">
        <v>56</v>
      </c>
      <c r="E5">
        <v>100</v>
      </c>
      <c r="H5" s="2"/>
    </row>
    <row r="6" spans="2:8" x14ac:dyDescent="0.2">
      <c r="B6" t="s">
        <v>24</v>
      </c>
      <c r="C6">
        <v>50</v>
      </c>
      <c r="D6">
        <v>50</v>
      </c>
      <c r="E6">
        <v>200</v>
      </c>
      <c r="H6" s="3"/>
    </row>
    <row r="7" spans="2:8" x14ac:dyDescent="0.2">
      <c r="B7" t="s">
        <v>28</v>
      </c>
      <c r="C7">
        <v>192</v>
      </c>
      <c r="D7">
        <v>0</v>
      </c>
      <c r="E7">
        <v>0</v>
      </c>
    </row>
    <row r="8" spans="2:8" x14ac:dyDescent="0.2">
      <c r="B8" t="s">
        <v>29</v>
      </c>
      <c r="C8">
        <v>255</v>
      </c>
      <c r="D8">
        <v>139</v>
      </c>
      <c r="E8">
        <v>12</v>
      </c>
      <c r="H8" s="1"/>
    </row>
    <row r="9" spans="2:8" x14ac:dyDescent="0.2">
      <c r="B9" t="s">
        <v>27</v>
      </c>
      <c r="C9">
        <v>255</v>
      </c>
      <c r="D9">
        <v>192</v>
      </c>
      <c r="E9">
        <v>0</v>
      </c>
    </row>
    <row r="10" spans="2:8" x14ac:dyDescent="0.2">
      <c r="B10" t="s">
        <v>22</v>
      </c>
      <c r="C10">
        <v>255</v>
      </c>
      <c r="D10">
        <v>0</v>
      </c>
      <c r="E10">
        <v>0</v>
      </c>
    </row>
    <row r="11" spans="2:8" x14ac:dyDescent="0.2">
      <c r="B11" t="s">
        <v>23</v>
      </c>
      <c r="C11">
        <v>146</v>
      </c>
      <c r="D11">
        <v>208</v>
      </c>
      <c r="E11">
        <v>80</v>
      </c>
    </row>
    <row r="12" spans="2:8" x14ac:dyDescent="0.2">
      <c r="B12" t="s">
        <v>39</v>
      </c>
      <c r="C12">
        <v>0</v>
      </c>
      <c r="D12">
        <v>176</v>
      </c>
      <c r="E12">
        <v>240</v>
      </c>
      <c r="H12" s="6"/>
    </row>
    <row r="13" spans="2:8" x14ac:dyDescent="0.2">
      <c r="B13" t="s">
        <v>38</v>
      </c>
      <c r="C13">
        <v>255</v>
      </c>
      <c r="D13">
        <v>255</v>
      </c>
      <c r="E13">
        <v>255</v>
      </c>
    </row>
    <row r="14" spans="2:8" x14ac:dyDescent="0.2">
      <c r="B14" t="s">
        <v>43</v>
      </c>
      <c r="C14">
        <v>242</v>
      </c>
      <c r="D14">
        <v>242</v>
      </c>
      <c r="E14">
        <v>242</v>
      </c>
    </row>
    <row r="15" spans="2:8" x14ac:dyDescent="0.2">
      <c r="B15" t="s">
        <v>44</v>
      </c>
      <c r="C15">
        <v>166</v>
      </c>
      <c r="D15">
        <v>166</v>
      </c>
      <c r="E15">
        <v>166</v>
      </c>
    </row>
    <row r="16" spans="2:8" x14ac:dyDescent="0.2">
      <c r="B16" t="s">
        <v>50</v>
      </c>
      <c r="C16">
        <v>241</v>
      </c>
      <c r="D16">
        <v>246</v>
      </c>
      <c r="E16">
        <v>213</v>
      </c>
    </row>
    <row r="17" spans="2:8" x14ac:dyDescent="0.2">
      <c r="B17" t="s">
        <v>51</v>
      </c>
      <c r="C17">
        <v>214</v>
      </c>
      <c r="D17">
        <v>227</v>
      </c>
      <c r="E17">
        <v>130</v>
      </c>
    </row>
    <row r="18" spans="2:8" x14ac:dyDescent="0.2">
      <c r="B18" t="s">
        <v>53</v>
      </c>
      <c r="C18">
        <v>255</v>
      </c>
      <c r="D18">
        <v>255</v>
      </c>
      <c r="E18">
        <v>0</v>
      </c>
      <c r="H18" s="9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13C002-A285-3448-A960-87C1D30D67A8}">
  <sheetPr>
    <pageSetUpPr fitToPage="1"/>
  </sheetPr>
  <dimension ref="A1:AP5"/>
  <sheetViews>
    <sheetView tabSelected="1" topLeftCell="B1" zoomScale="182" workbookViewId="0">
      <selection activeCell="H6" sqref="H6"/>
    </sheetView>
  </sheetViews>
  <sheetFormatPr baseColWidth="10" defaultColWidth="2.6640625" defaultRowHeight="16" x14ac:dyDescent="0.2"/>
  <cols>
    <col min="1" max="1" width="13" bestFit="1" customWidth="1"/>
    <col min="2" max="2" width="12.83203125" bestFit="1" customWidth="1"/>
    <col min="3" max="5" width="10.83203125" bestFit="1" customWidth="1"/>
    <col min="6" max="6" width="12.6640625" bestFit="1" customWidth="1"/>
    <col min="7" max="7" width="17.33203125" bestFit="1" customWidth="1"/>
    <col min="8" max="8" width="30.33203125" bestFit="1" customWidth="1"/>
    <col min="9" max="9" width="24" bestFit="1" customWidth="1"/>
    <col min="10" max="10" width="13.33203125" bestFit="1" customWidth="1"/>
    <col min="11" max="11" width="15" bestFit="1" customWidth="1"/>
    <col min="12" max="12" width="20" bestFit="1" customWidth="1"/>
    <col min="13" max="13" width="3.5" customWidth="1"/>
    <col min="14" max="14" width="3.33203125" customWidth="1"/>
    <col min="15" max="15" width="20" bestFit="1" customWidth="1"/>
    <col min="16" max="16" width="17.83203125" bestFit="1" customWidth="1"/>
    <col min="17" max="17" width="13.1640625" bestFit="1" customWidth="1"/>
    <col min="18" max="18" width="14" bestFit="1" customWidth="1"/>
    <col min="19" max="19" width="14.1640625" bestFit="1" customWidth="1"/>
    <col min="20" max="20" width="10.83203125" bestFit="1" customWidth="1"/>
    <col min="21" max="21" width="12.5" bestFit="1" customWidth="1"/>
    <col min="22" max="22" width="15" bestFit="1" customWidth="1"/>
    <col min="23" max="23" width="14" bestFit="1" customWidth="1"/>
    <col min="24" max="24" width="25" bestFit="1" customWidth="1"/>
    <col min="25" max="25" width="15" bestFit="1" customWidth="1"/>
    <col min="26" max="26" width="15.1640625" bestFit="1" customWidth="1"/>
    <col min="27" max="28" width="15.1640625" customWidth="1"/>
    <col min="29" max="29" width="17.33203125" bestFit="1" customWidth="1"/>
    <col min="30" max="30" width="25" bestFit="1" customWidth="1"/>
    <col min="31" max="31" width="15" bestFit="1" customWidth="1"/>
    <col min="32" max="32" width="15.1640625" bestFit="1" customWidth="1"/>
    <col min="33" max="34" width="15.1640625" customWidth="1"/>
    <col min="35" max="35" width="17.33203125" bestFit="1" customWidth="1"/>
    <col min="36" max="36" width="20.6640625" bestFit="1" customWidth="1"/>
    <col min="37" max="37" width="10.83203125" bestFit="1" customWidth="1"/>
    <col min="38" max="38" width="11" bestFit="1" customWidth="1"/>
    <col min="39" max="40" width="11" customWidth="1"/>
    <col min="41" max="41" width="25.83203125" bestFit="1" customWidth="1"/>
    <col min="42" max="42" width="110.6640625" bestFit="1" customWidth="1"/>
    <col min="43" max="109" width="3.33203125" customWidth="1"/>
  </cols>
  <sheetData>
    <row r="1" spans="1:42" x14ac:dyDescent="0.2">
      <c r="A1" t="s">
        <v>78</v>
      </c>
      <c r="B1" t="s">
        <v>77</v>
      </c>
      <c r="C1" t="s">
        <v>76</v>
      </c>
      <c r="D1" t="s">
        <v>75</v>
      </c>
      <c r="E1" t="s">
        <v>74</v>
      </c>
      <c r="F1" t="s">
        <v>73</v>
      </c>
      <c r="G1" t="s">
        <v>72</v>
      </c>
      <c r="H1" t="s">
        <v>71</v>
      </c>
      <c r="I1" t="s">
        <v>70</v>
      </c>
      <c r="J1" t="s">
        <v>69</v>
      </c>
      <c r="K1" t="s">
        <v>68</v>
      </c>
      <c r="L1" t="s">
        <v>67</v>
      </c>
      <c r="O1" t="s">
        <v>80</v>
      </c>
      <c r="P1" t="s">
        <v>84</v>
      </c>
      <c r="Q1" t="s">
        <v>81</v>
      </c>
      <c r="R1" t="s">
        <v>82</v>
      </c>
      <c r="S1" t="s">
        <v>79</v>
      </c>
      <c r="T1" t="s">
        <v>87</v>
      </c>
      <c r="U1" t="s">
        <v>83</v>
      </c>
      <c r="V1" t="s">
        <v>85</v>
      </c>
      <c r="W1" t="s">
        <v>88</v>
      </c>
      <c r="X1" t="s">
        <v>90</v>
      </c>
      <c r="Y1" t="s">
        <v>89</v>
      </c>
      <c r="Z1" t="s">
        <v>91</v>
      </c>
      <c r="AA1" t="s">
        <v>101</v>
      </c>
      <c r="AB1" t="s">
        <v>105</v>
      </c>
      <c r="AC1" t="s">
        <v>92</v>
      </c>
      <c r="AD1" t="s">
        <v>93</v>
      </c>
      <c r="AE1" t="s">
        <v>94</v>
      </c>
      <c r="AF1" t="s">
        <v>95</v>
      </c>
      <c r="AG1" t="s">
        <v>102</v>
      </c>
      <c r="AH1" t="s">
        <v>107</v>
      </c>
      <c r="AI1" t="s">
        <v>96</v>
      </c>
      <c r="AJ1" t="s">
        <v>97</v>
      </c>
      <c r="AK1" t="s">
        <v>100</v>
      </c>
      <c r="AL1" t="s">
        <v>98</v>
      </c>
      <c r="AM1" t="s">
        <v>103</v>
      </c>
      <c r="AN1" t="s">
        <v>106</v>
      </c>
      <c r="AO1" t="s">
        <v>99</v>
      </c>
      <c r="AP1" t="s">
        <v>104</v>
      </c>
    </row>
    <row r="2" spans="1:42" x14ac:dyDescent="0.2">
      <c r="A2" t="s">
        <v>66</v>
      </c>
      <c r="D2" s="5">
        <v>44197</v>
      </c>
      <c r="E2" s="5">
        <v>44226</v>
      </c>
      <c r="F2" t="b">
        <v>1</v>
      </c>
      <c r="G2" t="s">
        <v>62</v>
      </c>
      <c r="H2">
        <v>1</v>
      </c>
      <c r="I2">
        <v>1</v>
      </c>
      <c r="J2" t="s">
        <v>63</v>
      </c>
      <c r="K2" s="11" t="s">
        <v>60</v>
      </c>
      <c r="O2">
        <f>1</f>
        <v>1</v>
      </c>
      <c r="P2">
        <f>31</f>
        <v>31</v>
      </c>
      <c r="Q2" s="5">
        <v>44197</v>
      </c>
      <c r="R2" s="5">
        <v>44227</v>
      </c>
      <c r="S2" s="7">
        <f>Right-Left</f>
        <v>31.869999999999997</v>
      </c>
      <c r="T2" s="5">
        <f t="shared" ref="T2:T5" si="0">DATE(2021,1,5)</f>
        <v>44201</v>
      </c>
      <c r="U2" s="7">
        <f>Table6[[#This Row],[Visual Width]]/Table6[[#This Row],[Num Visual Days]]</f>
        <v>1.0280645161290323</v>
      </c>
      <c r="V2" s="7">
        <f t="shared" ref="V2:V4" si="1">360000</f>
        <v>360000</v>
      </c>
      <c r="W2" s="7">
        <f>IF(Table16[[#This Row],[Done Format String]]="",1,2)</f>
        <v>1</v>
      </c>
      <c r="X2" s="7">
        <f>Table16[[#This Row],[Start]]-Table6[[#This Row],[Visual Start]]</f>
        <v>0</v>
      </c>
      <c r="Y2">
        <f>ROUND((Top+(Table16[[#This Row],[Visual Track '# Within Swimlane]]-1)*(Track_Height+Track_Gap))*360000,0)</f>
        <v>360000</v>
      </c>
      <c r="Z2">
        <f>ROUND((Left+Table6[[#This Row],[Graphic 1 Days From Left]]*Table6[[#This Row],[Day Width]])*Table6[[#This Row],[Points Per Cm]],0)</f>
        <v>720000</v>
      </c>
      <c r="AA2">
        <f>ROUND(IF(Table6[[#This Row],[Num Shapes]]=1,(Table16[[#This Row],[Finish]]-Table16[[#This Row],[Start]]+1)*Table6[[#This Row],[Day Width]]*Table6[[#This Row],[Points Per Cm]],(Table6[[#This Row],[Today]]-Table16[[#This Row],[Start]]+1)*Table6[[#This Row],[Day Width]]*Table6[[#This Row],[Points Per Cm]]),0)</f>
        <v>11103097</v>
      </c>
      <c r="AC2" t="str">
        <f>"("&amp;_xlfn.TEXTJOIN(", ",FALSE, Table6[[#This Row],[Graphic 1 Top]:[Graphic 1 Width]])&amp;")"</f>
        <v>(360000, 720000, 11103097)</v>
      </c>
      <c r="AD2" s="7" t="str">
        <f>IF(Table6[[#This Row],[Num Shapes]]=1,"",Table6[[#This Row],[Today]]-Table6[[#This Row],[Visual Start]])</f>
        <v/>
      </c>
      <c r="AE2" s="7" t="str">
        <f>IF(Table6[[#This Row],[Num Shapes]]=1,"",Table6[[#This Row],[Graphic 1 Top]])</f>
        <v/>
      </c>
      <c r="AF2" s="7" t="str">
        <f>IF(Table6[[#This Row],[Num Shapes]]=1,"",ROUND((Left+Table6[[#This Row],[Graphic 2 Days From Left]]*Table6[[#This Row],[Day Width]])*Table6[[#This Row],[Points Per Cm]],0))</f>
        <v/>
      </c>
      <c r="AG2" s="7" t="str">
        <f>IF(Table6[[#This Row],[Num Shapes]]=1,"",ROUND((Table16[[#This Row],[Finish]]-Table6[[#This Row],[Today]]+1)*Table6[[#This Row],[Day Width]]*Table6[[#This Row],[Points Per Cm]],0))</f>
        <v/>
      </c>
      <c r="AH2" s="7"/>
      <c r="AI2" t="str">
        <f>IF(Table6[[#This Row],[Num Shapes]]=1,"","("&amp;_xlfn.TEXTJOIN(", ",FALSE, Table6[[#This Row],[Graphic 2 Top]:[Graphic 2 Width]])&amp;")")</f>
        <v/>
      </c>
      <c r="AJ2" s="7">
        <f>Table16[[#This Row],[Start]]-Table6[[#This Row],[Visual Start]]</f>
        <v>0</v>
      </c>
      <c r="AK2" s="7">
        <f>ROUND((Top+(Table16[[#This Row],[Visual Track '# Within Swimlane]]-1)*(Track_Height+Track_Gap))*360000,0)</f>
        <v>360000</v>
      </c>
      <c r="AL2" s="7">
        <f>ROUND((Left+Table6[[#This Row],[Graphic 1 Days From Left]]*Table6[[#This Row],[Day Width]])*Table6[[#This Row],[Points Per Cm]],0)</f>
        <v>720000</v>
      </c>
      <c r="AM2" s="7">
        <f>ROUND((Table16[[#This Row],[Finish]]-Table16[[#This Row],[Start]]+1)*Table6[[#This Row],[Day Width]]*Table6[[#This Row],[Points Per Cm]],0)</f>
        <v>11103097</v>
      </c>
      <c r="AN2" s="7"/>
      <c r="AO2" s="7" t="str">
        <f>"("&amp;_xlfn.TEXTJOIN(", ",FALSE, Table6[[#This Row],[Text Top]:[Text Width]])&amp;")"</f>
        <v>(360000, 720000, 11103097)</v>
      </c>
      <c r="AP2" s="7" t="str">
        <f>"("&amp;"""Activity"""&amp;", "&amp;""""&amp;Table16[[#This Row],[Task Name]]&amp;""""&amp;", "&amp;"["&amp;_xlfn.TEXTJOIN(", ",TRUE, Table6[[#This Row],[Graphic 1 Export]],Table6[[#This Row],[Graphic 2 Export]],Table6[[#This Row],[Text Export]])&amp;"]"&amp;"),"</f>
        <v>("Activity", "Activity 01", [(360000, 720000, 11103097), (360000, 720000, 11103097)]),</v>
      </c>
    </row>
    <row r="3" spans="1:42" x14ac:dyDescent="0.2">
      <c r="A3" t="s">
        <v>65</v>
      </c>
      <c r="D3" s="5">
        <v>44197</v>
      </c>
      <c r="E3" s="5">
        <v>44226</v>
      </c>
      <c r="F3" t="b">
        <v>1</v>
      </c>
      <c r="G3" t="s">
        <v>62</v>
      </c>
      <c r="H3">
        <v>2</v>
      </c>
      <c r="I3">
        <v>2</v>
      </c>
      <c r="J3" t="s">
        <v>63</v>
      </c>
      <c r="K3" s="11" t="s">
        <v>60</v>
      </c>
      <c r="O3">
        <f>1</f>
        <v>1</v>
      </c>
      <c r="P3">
        <f>31</f>
        <v>31</v>
      </c>
      <c r="Q3" s="5">
        <v>44197</v>
      </c>
      <c r="R3" s="5">
        <v>44227</v>
      </c>
      <c r="S3" s="7">
        <f>Right-Left</f>
        <v>31.869999999999997</v>
      </c>
      <c r="T3" s="5">
        <f t="shared" si="0"/>
        <v>44201</v>
      </c>
      <c r="U3" s="7">
        <f>Table6[[#This Row],[Visual Width]]/Table6[[#This Row],[Num Visual Days]]</f>
        <v>1.0280645161290323</v>
      </c>
      <c r="V3" s="7">
        <f t="shared" si="1"/>
        <v>360000</v>
      </c>
      <c r="W3" s="7">
        <f>IF(Table16[[#This Row],[Done Format String]]="",1,2)</f>
        <v>1</v>
      </c>
      <c r="X3" s="7">
        <f>Table16[[#This Row],[Start]]-Table6[[#This Row],[Visual Start]]</f>
        <v>0</v>
      </c>
      <c r="Y3">
        <f>ROUND((Top+(Table16[[#This Row],[Visual Track '# Within Swimlane]]-1)*(Track_Height+Track_Gap))*360000,0)</f>
        <v>576000</v>
      </c>
      <c r="Z3">
        <f>ROUND((Left+Table6[[#This Row],[Graphic 1 Days From Left]]*Table6[[#This Row],[Day Width]])*Table6[[#This Row],[Points Per Cm]],0)</f>
        <v>720000</v>
      </c>
      <c r="AA3">
        <f>ROUND(IF(Table6[[#This Row],[Num Shapes]]=1,(Table16[[#This Row],[Finish]]-Table16[[#This Row],[Start]]+1)*Table6[[#This Row],[Day Width]]*Table6[[#This Row],[Points Per Cm]],(Table6[[#This Row],[Today]]-Table16[[#This Row],[Start]]+1)*Table6[[#This Row],[Day Width]]*Table6[[#This Row],[Points Per Cm]]),0)</f>
        <v>11103097</v>
      </c>
      <c r="AC3" t="str">
        <f>"("&amp;_xlfn.TEXTJOIN(", ",FALSE, Table6[[#This Row],[Graphic 1 Top]:[Graphic 1 Width]])&amp;")"</f>
        <v>(576000, 720000, 11103097)</v>
      </c>
      <c r="AD3" s="7" t="str">
        <f>IF(Table6[[#This Row],[Num Shapes]]=1,"",Table6[[#This Row],[Today]]-Table6[[#This Row],[Visual Start]])</f>
        <v/>
      </c>
      <c r="AE3" s="7" t="str">
        <f>IF(Table6[[#This Row],[Num Shapes]]=1,"",Table6[[#This Row],[Graphic 1 Top]])</f>
        <v/>
      </c>
      <c r="AF3" s="7" t="str">
        <f>IF(Table6[[#This Row],[Num Shapes]]=1,"",ROUND((Left+Table6[[#This Row],[Graphic 2 Days From Left]]*Table6[[#This Row],[Day Width]])*Table6[[#This Row],[Points Per Cm]],0))</f>
        <v/>
      </c>
      <c r="AG3" s="7" t="str">
        <f>IF(Table6[[#This Row],[Num Shapes]]=1,"",ROUND((Table16[[#This Row],[Finish]]-Table6[[#This Row],[Today]]+1)*Table6[[#This Row],[Day Width]]*Table6[[#This Row],[Points Per Cm]],0))</f>
        <v/>
      </c>
      <c r="AH3" s="7"/>
      <c r="AI3" s="7" t="str">
        <f>IF(Table6[[#This Row],[Num Shapes]]=1,"","("&amp;_xlfn.TEXTJOIN(", ",FALSE, Table6[[#This Row],[Graphic 2 Top]:[Graphic 2 Width]])&amp;")")</f>
        <v/>
      </c>
      <c r="AJ3" s="7">
        <f>Table16[[#This Row],[Start]]-Table6[[#This Row],[Visual Start]]</f>
        <v>0</v>
      </c>
      <c r="AK3" s="7">
        <f>ROUND((Top+(Table16[[#This Row],[Visual Track '# Within Swimlane]]-1)*(Track_Height+Track_Gap))*360000,0)</f>
        <v>576000</v>
      </c>
      <c r="AL3" s="7">
        <f>ROUND((Left+Table6[[#This Row],[Graphic 1 Days From Left]]*Table6[[#This Row],[Day Width]])*Table6[[#This Row],[Points Per Cm]],0)</f>
        <v>720000</v>
      </c>
      <c r="AM3" s="7">
        <f>ROUND((Table16[[#This Row],[Finish]]-Table16[[#This Row],[Start]]+1)*Table6[[#This Row],[Day Width]]*Table6[[#This Row],[Points Per Cm]],0)</f>
        <v>11103097</v>
      </c>
      <c r="AN3" s="7"/>
      <c r="AO3" s="7" t="str">
        <f>"("&amp;_xlfn.TEXTJOIN(", ",FALSE, Table6[[#This Row],[Text Top]:[Text Width]])&amp;")"</f>
        <v>(576000, 720000, 11103097)</v>
      </c>
      <c r="AP3" s="7" t="str">
        <f>"("&amp;"""Activity"""&amp;", "&amp;""""&amp;Table16[[#This Row],[Task Name]]&amp;""""&amp;", "&amp;"["&amp;_xlfn.TEXTJOIN(", ",TRUE, Table6[[#This Row],[Graphic 1 Export]],Table6[[#This Row],[Graphic 2 Export]],Table6[[#This Row],[Text Export]])&amp;"]"&amp;"),"</f>
        <v>("Activity", "Activity 02", [(576000, 720000, 11103097), (576000, 720000, 11103097)]),</v>
      </c>
    </row>
    <row r="4" spans="1:42" x14ac:dyDescent="0.2">
      <c r="A4" t="s">
        <v>64</v>
      </c>
      <c r="D4" s="5">
        <v>44198</v>
      </c>
      <c r="E4" s="5">
        <v>44226</v>
      </c>
      <c r="F4" t="b">
        <v>1</v>
      </c>
      <c r="G4" t="s">
        <v>62</v>
      </c>
      <c r="H4">
        <v>4</v>
      </c>
      <c r="I4">
        <v>3</v>
      </c>
      <c r="J4" t="s">
        <v>63</v>
      </c>
      <c r="K4" s="11" t="s">
        <v>60</v>
      </c>
      <c r="O4">
        <f>1</f>
        <v>1</v>
      </c>
      <c r="P4">
        <f>31</f>
        <v>31</v>
      </c>
      <c r="Q4" s="5">
        <v>44197</v>
      </c>
      <c r="R4" s="5">
        <v>44227</v>
      </c>
      <c r="S4" s="7">
        <f>Right-Left</f>
        <v>31.869999999999997</v>
      </c>
      <c r="T4" s="5">
        <f t="shared" si="0"/>
        <v>44201</v>
      </c>
      <c r="U4" s="7">
        <f>Table6[[#This Row],[Visual Width]]/Table6[[#This Row],[Num Visual Days]]</f>
        <v>1.0280645161290323</v>
      </c>
      <c r="V4" s="7">
        <f t="shared" si="1"/>
        <v>360000</v>
      </c>
      <c r="W4" s="7">
        <f>IF(Table16[[#This Row],[Done Format String]]="",1,2)</f>
        <v>1</v>
      </c>
      <c r="X4" s="7">
        <f>Table16[[#This Row],[Start]]-Table6[[#This Row],[Visual Start]]</f>
        <v>1</v>
      </c>
      <c r="Y4">
        <f>ROUND((Top+(Table16[[#This Row],[Visual Track '# Within Swimlane]]-1)*(Track_Height+Track_Gap))*360000,0)</f>
        <v>1008000</v>
      </c>
      <c r="Z4">
        <f>ROUND((Left+Table6[[#This Row],[Graphic 1 Days From Left]]*Table6[[#This Row],[Day Width]])*Table6[[#This Row],[Points Per Cm]],0)</f>
        <v>1090103</v>
      </c>
      <c r="AA4">
        <f>ROUND(IF(Table6[[#This Row],[Num Shapes]]=1,(Table16[[#This Row],[Finish]]-Table16[[#This Row],[Start]]+1)*Table6[[#This Row],[Day Width]]*Table6[[#This Row],[Points Per Cm]],(Table6[[#This Row],[Today]]-Table16[[#This Row],[Start]]+1)*Table6[[#This Row],[Day Width]]*Table6[[#This Row],[Points Per Cm]]),0)</f>
        <v>10732994</v>
      </c>
      <c r="AC4" t="str">
        <f>"("&amp;_xlfn.TEXTJOIN(", ",FALSE, Table6[[#This Row],[Graphic 1 Top]:[Graphic 1 Width]])&amp;")"</f>
        <v>(1008000, 1090103, 10732994)</v>
      </c>
      <c r="AD4" s="7" t="str">
        <f>IF(Table6[[#This Row],[Num Shapes]]=1,"",Table6[[#This Row],[Today]]-Table6[[#This Row],[Visual Start]])</f>
        <v/>
      </c>
      <c r="AE4" s="7" t="str">
        <f>IF(Table6[[#This Row],[Num Shapes]]=1,"",Table6[[#This Row],[Graphic 1 Top]])</f>
        <v/>
      </c>
      <c r="AF4" s="7" t="str">
        <f>IF(Table6[[#This Row],[Num Shapes]]=1,"",ROUND((Left+Table6[[#This Row],[Graphic 2 Days From Left]]*Table6[[#This Row],[Day Width]])*Table6[[#This Row],[Points Per Cm]],0))</f>
        <v/>
      </c>
      <c r="AG4" s="7" t="str">
        <f>IF(Table6[[#This Row],[Num Shapes]]=1,"",ROUND((Table16[[#This Row],[Finish]]-Table6[[#This Row],[Today]]+1)*Table6[[#This Row],[Day Width]]*Table6[[#This Row],[Points Per Cm]],0))</f>
        <v/>
      </c>
      <c r="AH4" s="7"/>
      <c r="AI4" s="7" t="str">
        <f>IF(Table6[[#This Row],[Num Shapes]]=1,"","("&amp;_xlfn.TEXTJOIN(", ",FALSE, Table6[[#This Row],[Graphic 2 Top]:[Graphic 2 Width]])&amp;")")</f>
        <v/>
      </c>
      <c r="AJ4" s="7">
        <f>Table16[[#This Row],[Start]]-Table6[[#This Row],[Visual Start]]</f>
        <v>1</v>
      </c>
      <c r="AK4" s="7">
        <f>ROUND((Top+(Table16[[#This Row],[Visual Track '# Within Swimlane]]-1)*(Track_Height+Track_Gap))*360000,0)</f>
        <v>1008000</v>
      </c>
      <c r="AL4" s="7">
        <f>ROUND((Left+Table6[[#This Row],[Graphic 1 Days From Left]]*Table6[[#This Row],[Day Width]])*Table6[[#This Row],[Points Per Cm]],0)</f>
        <v>1090103</v>
      </c>
      <c r="AM4" s="7">
        <f>ROUND((Table16[[#This Row],[Finish]]-Table16[[#This Row],[Start]]+1)*Table6[[#This Row],[Day Width]]*Table6[[#This Row],[Points Per Cm]],0)</f>
        <v>10732994</v>
      </c>
      <c r="AN4" s="7"/>
      <c r="AO4" s="7" t="str">
        <f>"("&amp;_xlfn.TEXTJOIN(", ",FALSE, Table6[[#This Row],[Text Top]:[Text Width]])&amp;")"</f>
        <v>(1008000, 1090103, 10732994)</v>
      </c>
      <c r="AP4" s="7" t="str">
        <f>"("&amp;"""Activity"""&amp;", "&amp;""""&amp;Table16[[#This Row],[Task Name]]&amp;""""&amp;", "&amp;"["&amp;_xlfn.TEXTJOIN(", ",TRUE, Table6[[#This Row],[Graphic 1 Export]],Table6[[#This Row],[Graphic 2 Export]],Table6[[#This Row],[Text Export]])&amp;"]"&amp;"),"</f>
        <v>("Activity", "Activity 03", [(1008000, 1090103, 10732994), (1008000, 1090103, 10732994)]),</v>
      </c>
    </row>
    <row r="5" spans="1:42" x14ac:dyDescent="0.2">
      <c r="A5" t="s">
        <v>86</v>
      </c>
      <c r="D5" s="5">
        <v>44199</v>
      </c>
      <c r="E5" s="5">
        <v>44216</v>
      </c>
      <c r="F5" t="b">
        <v>1</v>
      </c>
      <c r="G5" t="s">
        <v>62</v>
      </c>
      <c r="H5">
        <v>7</v>
      </c>
      <c r="I5">
        <v>1</v>
      </c>
      <c r="J5" t="s">
        <v>63</v>
      </c>
      <c r="K5" s="11" t="s">
        <v>60</v>
      </c>
      <c r="L5" s="10" t="s">
        <v>61</v>
      </c>
      <c r="O5">
        <f>1</f>
        <v>1</v>
      </c>
      <c r="P5" s="7">
        <f>31</f>
        <v>31</v>
      </c>
      <c r="Q5" s="5">
        <v>44197</v>
      </c>
      <c r="R5" s="5">
        <v>44227</v>
      </c>
      <c r="S5" s="7">
        <f>Right-Left</f>
        <v>31.869999999999997</v>
      </c>
      <c r="T5" s="5">
        <f t="shared" si="0"/>
        <v>44201</v>
      </c>
      <c r="U5" s="7">
        <f>Table6[[#This Row],[Visual Width]]/Table6[[#This Row],[Num Visual Days]]</f>
        <v>1.0280645161290323</v>
      </c>
      <c r="V5" s="7">
        <f>360000</f>
        <v>360000</v>
      </c>
      <c r="W5" s="7">
        <f>IF(Table16[[#This Row],[Done Format String]]="",1,2)</f>
        <v>2</v>
      </c>
      <c r="X5" s="7">
        <f>Table16[[#This Row],[Start]]-Table6[[#This Row],[Visual Start]]</f>
        <v>2</v>
      </c>
      <c r="Y5" s="7">
        <f>ROUND((Top+(Table16[[#This Row],[Visual Track '# Within Swimlane]]-1)*(Track_Height+Track_Gap))*360000,0)</f>
        <v>1656000</v>
      </c>
      <c r="Z5" s="7">
        <f>ROUND((Left+Table6[[#This Row],[Graphic 1 Days From Left]]*Table6[[#This Row],[Day Width]])*Table6[[#This Row],[Points Per Cm]],0)</f>
        <v>1460206</v>
      </c>
      <c r="AA5" s="7">
        <f>ROUND(IF(Table6[[#This Row],[Num Shapes]]=1,(Table16[[#This Row],[Finish]]-Table16[[#This Row],[Start]]+1)*Table6[[#This Row],[Day Width]]*Table6[[#This Row],[Points Per Cm]],(Table6[[#This Row],[Today]]-Table16[[#This Row],[Start]]+1)*Table6[[#This Row],[Day Width]]*Table6[[#This Row],[Points Per Cm]]),0)</f>
        <v>1110310</v>
      </c>
      <c r="AB5" s="7"/>
      <c r="AC5" s="7" t="str">
        <f>"("&amp;_xlfn.TEXTJOIN(", ",FALSE, Table6[[#This Row],[Graphic 1 Top]:[Graphic 1 Width]])&amp;")"</f>
        <v>(1656000, 1460206, 1110310)</v>
      </c>
      <c r="AD5" s="7">
        <f>IF(Table6[[#This Row],[Num Shapes]]=1,"",Table6[[#This Row],[Today]]-Table6[[#This Row],[Visual Start]])</f>
        <v>4</v>
      </c>
      <c r="AE5" s="7">
        <f>IF(Table6[[#This Row],[Num Shapes]]=1,"",Table6[[#This Row],[Graphic 1 Top]])</f>
        <v>1656000</v>
      </c>
      <c r="AF5" s="7">
        <f>IF(Table6[[#This Row],[Num Shapes]]=1,"",ROUND((Left+Table6[[#This Row],[Graphic 2 Days From Left]]*Table6[[#This Row],[Day Width]])*Table6[[#This Row],[Points Per Cm]],0))</f>
        <v>2200413</v>
      </c>
      <c r="AG5" s="7">
        <f>IF(Table6[[#This Row],[Num Shapes]]=1,"",ROUND((Table16[[#This Row],[Finish]]-Table6[[#This Row],[Today]]+1)*Table6[[#This Row],[Day Width]]*Table6[[#This Row],[Points Per Cm]],0))</f>
        <v>5921652</v>
      </c>
      <c r="AH5" s="7"/>
      <c r="AI5" s="7" t="str">
        <f>IF(Table6[[#This Row],[Num Shapes]]=1,"","("&amp;_xlfn.TEXTJOIN(", ",FALSE, Table6[[#This Row],[Graphic 2 Top]:[Graphic 2 Width]])&amp;")")</f>
        <v>(1656000, 2200413, 5921652)</v>
      </c>
      <c r="AJ5" s="7">
        <f>Table16[[#This Row],[Start]]-Table6[[#This Row],[Visual Start]]</f>
        <v>2</v>
      </c>
      <c r="AK5" s="7">
        <f>ROUND((Top+(Table16[[#This Row],[Visual Track '# Within Swimlane]]-1)*(Track_Height+Track_Gap))*360000,0)</f>
        <v>1656000</v>
      </c>
      <c r="AL5" s="7">
        <f>ROUND((Left+Table6[[#This Row],[Graphic 1 Days From Left]]*Table6[[#This Row],[Day Width]])*Table6[[#This Row],[Points Per Cm]],0)</f>
        <v>1460206</v>
      </c>
      <c r="AM5" s="7">
        <f>ROUND((Table16[[#This Row],[Finish]]-Table16[[#This Row],[Start]]+1)*Table6[[#This Row],[Day Width]]*Table6[[#This Row],[Points Per Cm]],0)</f>
        <v>6661858</v>
      </c>
      <c r="AN5" s="7"/>
      <c r="AO5" s="7" t="str">
        <f>"("&amp;_xlfn.TEXTJOIN(", ",FALSE, Table6[[#This Row],[Text Top]:[Text Width]])&amp;")"</f>
        <v>(1656000, 1460206, 6661858)</v>
      </c>
      <c r="AP5" s="7" t="str">
        <f>"("&amp;"""Activity"""&amp;", "&amp;""""&amp;Table16[[#This Row],[Task Name]]&amp;""""&amp;", "&amp;"["&amp;_xlfn.TEXTJOIN(", ",TRUE, Table6[[#This Row],[Graphic 1 Export]],Table6[[#This Row],[Graphic 2 Export]],Table6[[#This Row],[Text Export]])&amp;"]"&amp;"),"</f>
        <v>("Activity", "Activity 04", [(1656000, 1460206, 1110310), (1656000, 2200413, 5921652), (1656000, 1460206, 6661858)]),</v>
      </c>
    </row>
  </sheetData>
  <phoneticPr fontId="1" type="noConversion"/>
  <pageMargins left="0.7" right="0.7" top="0.75" bottom="0.75" header="0.3" footer="0.3"/>
  <pageSetup scale="28" fitToHeight="0" orientation="landscape" horizontalDpi="360" verticalDpi="360"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3AA25448802354EA59139B963AA5AE8" ma:contentTypeVersion="10" ma:contentTypeDescription="Create a new document." ma:contentTypeScope="" ma:versionID="5dfa8f2b1325d447d0ca4a654c329ac8">
  <xsd:schema xmlns:xsd="http://www.w3.org/2001/XMLSchema" xmlns:xs="http://www.w3.org/2001/XMLSchema" xmlns:p="http://schemas.microsoft.com/office/2006/metadata/properties" xmlns:ns2="70221af8-9b81-45a2-828a-db5fddf7520d" xmlns:ns3="dbd788b1-066a-4afa-a460-6ad1f8b5becc" targetNamespace="http://schemas.microsoft.com/office/2006/metadata/properties" ma:root="true" ma:fieldsID="09cb2c2dd35fe1151c9ef142d0bcf122" ns2:_="" ns3:_="">
    <xsd:import namespace="70221af8-9b81-45a2-828a-db5fddf7520d"/>
    <xsd:import namespace="dbd788b1-066a-4afa-a460-6ad1f8b5bec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221af8-9b81-45a2-828a-db5fddf7520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bd788b1-066a-4afa-a460-6ad1f8b5bec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02C7751-B1B0-43AF-A6DD-8F0778B5A12C}">
  <ds:schemaRefs>
    <ds:schemaRef ds:uri="http://schemas.microsoft.com/office/2006/documentManagement/types"/>
    <ds:schemaRef ds:uri="http://schemas.microsoft.com/office/2006/metadata/properties"/>
    <ds:schemaRef ds:uri="http://purl.org/dc/terms/"/>
    <ds:schemaRef ds:uri="http://www.w3.org/XML/1998/namespace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dbd788b1-066a-4afa-a460-6ad1f8b5becc"/>
    <ds:schemaRef ds:uri="70221af8-9b81-45a2-828a-db5fddf7520d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19069901-2B27-40A0-BFC2-80A7B5B2DB8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0221af8-9b81-45a2-828a-db5fddf7520d"/>
    <ds:schemaRef ds:uri="dbd788b1-066a-4afa-a460-6ad1f8b5bec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9158423-F1CB-45D2-983E-BC49E23D322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15</vt:i4>
      </vt:variant>
    </vt:vector>
  </HeadingPairs>
  <TitlesOfParts>
    <vt:vector size="20" baseType="lpstr">
      <vt:lpstr>PlotConfig</vt:lpstr>
      <vt:lpstr>FormatConfig</vt:lpstr>
      <vt:lpstr>Swimlanes</vt:lpstr>
      <vt:lpstr>Lookup</vt:lpstr>
      <vt:lpstr>Plan</vt:lpstr>
      <vt:lpstr>Activity_Shape</vt:lpstr>
      <vt:lpstr>Activity_Text_Width</vt:lpstr>
      <vt:lpstr>Bottom</vt:lpstr>
      <vt:lpstr>Config_Name</vt:lpstr>
      <vt:lpstr>Left</vt:lpstr>
      <vt:lpstr>Max_Date</vt:lpstr>
      <vt:lpstr>Milestone_Shape</vt:lpstr>
      <vt:lpstr>Milestone_Text_Width</vt:lpstr>
      <vt:lpstr>Milestone_Width</vt:lpstr>
      <vt:lpstr>Min_Date</vt:lpstr>
      <vt:lpstr>Right</vt:lpstr>
      <vt:lpstr>Text_Margin</vt:lpstr>
      <vt:lpstr>Top</vt:lpstr>
      <vt:lpstr>Track_Gap</vt:lpstr>
      <vt:lpstr>Track_Height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Thomas Gaylard (Dev)</cp:lastModifiedBy>
  <dcterms:created xsi:type="dcterms:W3CDTF">2021-04-17T18:05:04Z</dcterms:created>
  <dcterms:modified xsi:type="dcterms:W3CDTF">2021-08-19T06:18:16Z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0x01010073AA25448802354EA59139B963AA5AE8</vt:lpwstr>
  </property>
</Properties>
</file>