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"/>
    </mc:Choice>
  </mc:AlternateContent>
  <xr:revisionPtr revIDLastSave="0" documentId="13_ncr:1_{CA0338F7-0BD8-4D62-92FE-10A952A3C4A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Names" sheetId="10" r:id="rId2"/>
    <sheet name="Order" sheetId="9" r:id="rId3"/>
    <sheet name="Settings" sheetId="2" r:id="rId4"/>
    <sheet name="MaterialsTranslate" sheetId="4" r:id="rId5"/>
    <sheet name="MaterialsTypes" sheetId="5" r:id="rId6"/>
    <sheet name="Colors" sheetId="6" r:id="rId7"/>
    <sheet name="Категории" sheetId="7" r:id="rId8"/>
    <sheet name="Manufactures" sheetId="3" r:id="rId9"/>
    <sheet name="1C" sheetId="8" r:id="rId10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9" hidden="1">'1C'!$A$1:$T$6000</definedName>
    <definedName name="_xlnm._FilterDatabase" localSheetId="6" hidden="1">Colors!$A$1:$B$1</definedName>
    <definedName name="_xlnm._FilterDatabase" localSheetId="4" hidden="1">MaterialsTranslate!$B$1:$C$30</definedName>
    <definedName name="_xlnm._FilterDatabase" localSheetId="0" hidden="1">Table!$A$1:$BD$230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9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Settings!$O$2:$O$27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9" i="1" l="1"/>
  <c r="D227" i="1"/>
  <c r="D225" i="1"/>
  <c r="D224" i="1"/>
  <c r="D223" i="1"/>
  <c r="D222" i="1"/>
  <c r="D221" i="1"/>
  <c r="D210" i="1"/>
  <c r="D205" i="1"/>
  <c r="D204" i="1"/>
  <c r="D200" i="1"/>
  <c r="D199" i="1"/>
  <c r="D198" i="1"/>
  <c r="D194" i="1"/>
  <c r="D193" i="1"/>
  <c r="D191" i="1"/>
  <c r="D189" i="1"/>
  <c r="D186" i="1"/>
  <c r="D185" i="1"/>
  <c r="D184" i="1"/>
  <c r="D183" i="1"/>
  <c r="D182" i="1"/>
  <c r="D180" i="1"/>
  <c r="D179" i="1"/>
  <c r="D178" i="1"/>
  <c r="D177" i="1"/>
  <c r="D175" i="1"/>
  <c r="D173" i="1"/>
  <c r="D167" i="1"/>
  <c r="D166" i="1"/>
  <c r="D165" i="1"/>
  <c r="D163" i="1"/>
  <c r="D162" i="1"/>
  <c r="D160" i="1"/>
  <c r="D158" i="1"/>
  <c r="D154" i="1"/>
  <c r="D152" i="1"/>
  <c r="D149" i="1"/>
  <c r="D147" i="1"/>
  <c r="D146" i="1"/>
  <c r="D145" i="1"/>
  <c r="D144" i="1"/>
  <c r="D143" i="1"/>
  <c r="D140" i="1"/>
  <c r="D136" i="1"/>
  <c r="D135" i="1"/>
  <c r="D134" i="1"/>
  <c r="D133" i="1"/>
  <c r="D131" i="1"/>
  <c r="D130" i="1"/>
  <c r="D129" i="1"/>
  <c r="D128" i="1"/>
  <c r="D126" i="1"/>
  <c r="D125" i="1"/>
  <c r="D124" i="1"/>
  <c r="D122" i="1"/>
  <c r="D119" i="1"/>
  <c r="D118" i="1"/>
  <c r="D113" i="1"/>
  <c r="D112" i="1"/>
  <c r="D106" i="1"/>
  <c r="D105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6" i="1"/>
  <c r="D51" i="1"/>
  <c r="D50" i="1"/>
  <c r="D49" i="1"/>
  <c r="D48" i="1"/>
  <c r="D47" i="1"/>
  <c r="D44" i="1"/>
  <c r="D40" i="1"/>
  <c r="D37" i="1"/>
  <c r="D36" i="1"/>
  <c r="D33" i="1"/>
  <c r="D32" i="1"/>
  <c r="D31" i="1"/>
  <c r="D30" i="1"/>
  <c r="D29" i="1"/>
  <c r="D28" i="1"/>
  <c r="D27" i="1"/>
  <c r="D25" i="1"/>
  <c r="D24" i="1"/>
  <c r="D22" i="1"/>
  <c r="D21" i="1"/>
  <c r="D20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H104" i="1"/>
  <c r="E229" i="1"/>
  <c r="Q101" i="1" l="1"/>
  <c r="Q102" i="1"/>
  <c r="Q103" i="1"/>
  <c r="Q105" i="1"/>
  <c r="Q112" i="1"/>
  <c r="Q113" i="1"/>
  <c r="Q118" i="1"/>
  <c r="Q119" i="1"/>
  <c r="Q122" i="1"/>
  <c r="Q124" i="1"/>
  <c r="Q125" i="1"/>
  <c r="Q126" i="1"/>
  <c r="Q128" i="1"/>
  <c r="Q129" i="1"/>
  <c r="Q130" i="1"/>
  <c r="Q131" i="1"/>
  <c r="Q133" i="1"/>
  <c r="Q134" i="1"/>
  <c r="Q135" i="1"/>
  <c r="Q136" i="1"/>
  <c r="Q3" i="1"/>
  <c r="Q4" i="1"/>
  <c r="Q5" i="1"/>
  <c r="Q6" i="1"/>
  <c r="Q7" i="1"/>
  <c r="Q8" i="1"/>
  <c r="Q9" i="1"/>
  <c r="Q10" i="1"/>
  <c r="N227" i="1"/>
  <c r="N229" i="1"/>
  <c r="N225" i="1"/>
  <c r="N224" i="1"/>
  <c r="N223" i="1"/>
  <c r="N222" i="1"/>
  <c r="N221" i="1"/>
  <c r="N210" i="1"/>
  <c r="N205" i="1"/>
  <c r="N204" i="1"/>
  <c r="N200" i="1"/>
  <c r="N199" i="1"/>
  <c r="N198" i="1"/>
  <c r="N194" i="1"/>
  <c r="N193" i="1"/>
  <c r="N191" i="1"/>
  <c r="N189" i="1"/>
  <c r="N186" i="1"/>
  <c r="N185" i="1"/>
  <c r="N184" i="1"/>
  <c r="N183" i="1"/>
  <c r="N182" i="1"/>
  <c r="N180" i="1"/>
  <c r="N179" i="1"/>
  <c r="N178" i="1"/>
  <c r="N177" i="1"/>
  <c r="N175" i="1"/>
  <c r="N173" i="1"/>
  <c r="N167" i="1"/>
  <c r="N166" i="1"/>
  <c r="N165" i="1"/>
  <c r="N163" i="1"/>
  <c r="N162" i="1"/>
  <c r="N160" i="1"/>
  <c r="N158" i="1"/>
  <c r="N154" i="1"/>
  <c r="N152" i="1"/>
  <c r="N149" i="1"/>
  <c r="N147" i="1"/>
  <c r="N146" i="1"/>
  <c r="N145" i="1"/>
  <c r="N144" i="1"/>
  <c r="N143" i="1"/>
  <c r="N140" i="1"/>
  <c r="N136" i="1"/>
  <c r="N135" i="1"/>
  <c r="N134" i="1"/>
  <c r="N133" i="1"/>
  <c r="N131" i="1"/>
  <c r="N130" i="1"/>
  <c r="N129" i="1"/>
  <c r="N128" i="1"/>
  <c r="N126" i="1"/>
  <c r="N125" i="1"/>
  <c r="N124" i="1"/>
  <c r="N122" i="1"/>
  <c r="N119" i="1"/>
  <c r="N118" i="1"/>
  <c r="N113" i="1"/>
  <c r="N112" i="1"/>
  <c r="N106" i="1"/>
  <c r="N105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6" i="1"/>
  <c r="N51" i="1"/>
  <c r="N50" i="1"/>
  <c r="N49" i="1"/>
  <c r="N48" i="1"/>
  <c r="N47" i="1"/>
  <c r="N44" i="1"/>
  <c r="N40" i="1"/>
  <c r="N37" i="1"/>
  <c r="N36" i="1"/>
  <c r="N33" i="1"/>
  <c r="N32" i="1"/>
  <c r="N31" i="1"/>
  <c r="N30" i="1"/>
  <c r="N29" i="1"/>
  <c r="N28" i="1"/>
  <c r="N27" i="1"/>
  <c r="N25" i="1"/>
  <c r="N24" i="1"/>
  <c r="N22" i="1"/>
  <c r="N21" i="1"/>
  <c r="N20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AR199" i="1" l="1"/>
  <c r="AR198" i="1"/>
  <c r="AR140" i="1"/>
  <c r="AR229" i="1"/>
  <c r="AR227" i="1"/>
  <c r="AR225" i="1"/>
  <c r="AR224" i="1"/>
  <c r="AR223" i="1"/>
  <c r="AR222" i="1"/>
  <c r="AR221" i="1"/>
  <c r="AR210" i="1"/>
  <c r="AR205" i="1"/>
  <c r="AR204" i="1"/>
  <c r="AR200" i="1"/>
  <c r="AR194" i="1"/>
  <c r="AR193" i="1"/>
  <c r="AR191" i="1"/>
  <c r="AR189" i="1"/>
  <c r="AR186" i="1"/>
  <c r="AR185" i="1"/>
  <c r="AR184" i="1"/>
  <c r="AR183" i="1"/>
  <c r="AR182" i="1"/>
  <c r="AR180" i="1"/>
  <c r="AR179" i="1"/>
  <c r="AR178" i="1"/>
  <c r="AR177" i="1"/>
  <c r="AR175" i="1"/>
  <c r="AR173" i="1"/>
  <c r="AR167" i="1"/>
  <c r="AR166" i="1"/>
  <c r="AR165" i="1"/>
  <c r="AR163" i="1"/>
  <c r="AR162" i="1"/>
  <c r="AR160" i="1"/>
  <c r="AR158" i="1"/>
  <c r="AR154" i="1"/>
  <c r="AR152" i="1"/>
  <c r="AR149" i="1"/>
  <c r="AR147" i="1"/>
  <c r="AR146" i="1"/>
  <c r="AR145" i="1"/>
  <c r="AR144" i="1"/>
  <c r="AR143" i="1"/>
  <c r="AR136" i="1"/>
  <c r="AR135" i="1"/>
  <c r="AR134" i="1"/>
  <c r="AR133" i="1"/>
  <c r="AR131" i="1"/>
  <c r="AR130" i="1"/>
  <c r="AR129" i="1"/>
  <c r="AR128" i="1"/>
  <c r="AR126" i="1"/>
  <c r="AR125" i="1"/>
  <c r="AR124" i="1"/>
  <c r="AR122" i="1"/>
  <c r="AR119" i="1"/>
  <c r="AR118" i="1"/>
  <c r="AR113" i="1"/>
  <c r="AR112" i="1"/>
  <c r="AR106" i="1"/>
  <c r="AR105" i="1"/>
  <c r="AR103" i="1"/>
  <c r="AR102" i="1"/>
  <c r="AR101" i="1"/>
  <c r="AR100" i="1"/>
  <c r="AR99" i="1"/>
  <c r="AR98" i="1"/>
  <c r="AR97" i="1"/>
  <c r="AR96" i="1"/>
  <c r="AR95" i="1"/>
  <c r="AR94" i="1"/>
  <c r="AR93" i="1"/>
  <c r="AR92" i="1"/>
  <c r="AR91" i="1"/>
  <c r="AR90" i="1"/>
  <c r="AR89" i="1"/>
  <c r="AR88" i="1"/>
  <c r="AR87" i="1"/>
  <c r="AR86" i="1"/>
  <c r="AR85" i="1"/>
  <c r="AR84" i="1"/>
  <c r="AR83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6" i="1"/>
  <c r="AR51" i="1"/>
  <c r="AR50" i="1"/>
  <c r="AR49" i="1"/>
  <c r="AR48" i="1"/>
  <c r="AR47" i="1"/>
  <c r="AR44" i="1"/>
  <c r="AR40" i="1"/>
  <c r="AR37" i="1"/>
  <c r="AR36" i="1"/>
  <c r="AR33" i="1"/>
  <c r="AR32" i="1"/>
  <c r="AR31" i="1"/>
  <c r="AR30" i="1"/>
  <c r="AR29" i="1"/>
  <c r="AR28" i="1"/>
  <c r="AR27" i="1"/>
  <c r="AR25" i="1"/>
  <c r="AR24" i="1"/>
  <c r="AR22" i="1"/>
  <c r="AR21" i="1"/>
  <c r="AR20" i="1"/>
  <c r="AR18" i="1"/>
  <c r="AR17" i="1"/>
  <c r="AR16" i="1"/>
  <c r="AR15" i="1"/>
  <c r="AR14" i="1"/>
  <c r="AR13" i="1"/>
  <c r="AR12" i="1"/>
  <c r="AR11" i="1"/>
  <c r="AR10" i="1"/>
  <c r="AR9" i="1"/>
  <c r="AR8" i="1"/>
  <c r="AR7" i="1"/>
  <c r="AR6" i="1"/>
  <c r="AR5" i="1"/>
  <c r="AR4" i="1"/>
  <c r="AR3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BB2" i="1"/>
  <c r="BA2" i="1"/>
  <c r="AV230" i="1" l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V161" i="1"/>
  <c r="AV160" i="1"/>
  <c r="AV159" i="1"/>
  <c r="AV158" i="1"/>
  <c r="AV157" i="1"/>
  <c r="AV156" i="1"/>
  <c r="AV155" i="1"/>
  <c r="AV154" i="1"/>
  <c r="AV153" i="1"/>
  <c r="AV152" i="1"/>
  <c r="AV151" i="1"/>
  <c r="AV150" i="1"/>
  <c r="AV149" i="1"/>
  <c r="AV148" i="1"/>
  <c r="AV147" i="1"/>
  <c r="AV146" i="1"/>
  <c r="AV145" i="1"/>
  <c r="AV144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Z230" i="1"/>
  <c r="AZ227" i="1"/>
  <c r="AZ226" i="1"/>
  <c r="AZ223" i="1"/>
  <c r="AX210" i="1"/>
  <c r="AZ208" i="1"/>
  <c r="AZ198" i="1"/>
  <c r="AW180" i="1"/>
  <c r="AZ176" i="1"/>
  <c r="AZ166" i="1"/>
  <c r="AX162" i="1"/>
  <c r="AX151" i="1"/>
  <c r="AZ146" i="1"/>
  <c r="AX140" i="1"/>
  <c r="AZ138" i="1"/>
  <c r="AW131" i="1"/>
  <c r="AZ130" i="1"/>
  <c r="AZ122" i="1"/>
  <c r="AX119" i="1"/>
  <c r="AZ114" i="1"/>
  <c r="AZ106" i="1"/>
  <c r="AW103" i="1"/>
  <c r="AZ98" i="1"/>
  <c r="AZ90" i="1"/>
  <c r="AW84" i="1"/>
  <c r="AZ82" i="1"/>
  <c r="AZ74" i="1"/>
  <c r="AW71" i="1"/>
  <c r="AZ66" i="1"/>
  <c r="AZ58" i="1"/>
  <c r="AZ50" i="1"/>
  <c r="AW46" i="1"/>
  <c r="AZ42" i="1"/>
  <c r="AW34" i="1"/>
  <c r="AZ26" i="1"/>
  <c r="AW20" i="1"/>
  <c r="AZ18" i="1"/>
  <c r="AZ10" i="1"/>
  <c r="AW7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227" i="1"/>
  <c r="E225" i="1"/>
  <c r="E224" i="1"/>
  <c r="E223" i="1"/>
  <c r="E222" i="1"/>
  <c r="E221" i="1"/>
  <c r="E210" i="1"/>
  <c r="E205" i="1"/>
  <c r="E204" i="1"/>
  <c r="E200" i="1"/>
  <c r="E199" i="1"/>
  <c r="E198" i="1"/>
  <c r="E194" i="1"/>
  <c r="E193" i="1"/>
  <c r="E191" i="1"/>
  <c r="E189" i="1"/>
  <c r="E186" i="1"/>
  <c r="E185" i="1"/>
  <c r="E184" i="1"/>
  <c r="E183" i="1"/>
  <c r="E182" i="1"/>
  <c r="E180" i="1"/>
  <c r="E179" i="1"/>
  <c r="E178" i="1"/>
  <c r="E177" i="1"/>
  <c r="E175" i="1"/>
  <c r="E173" i="1"/>
  <c r="E167" i="1"/>
  <c r="E166" i="1"/>
  <c r="E165" i="1"/>
  <c r="E163" i="1"/>
  <c r="E162" i="1"/>
  <c r="E160" i="1"/>
  <c r="E158" i="1"/>
  <c r="E154" i="1"/>
  <c r="E152" i="1"/>
  <c r="E149" i="1"/>
  <c r="E147" i="1"/>
  <c r="E146" i="1"/>
  <c r="E145" i="1"/>
  <c r="E144" i="1"/>
  <c r="E143" i="1"/>
  <c r="E140" i="1"/>
  <c r="E136" i="1"/>
  <c r="E135" i="1"/>
  <c r="E134" i="1"/>
  <c r="E133" i="1"/>
  <c r="E131" i="1"/>
  <c r="E130" i="1"/>
  <c r="E129" i="1"/>
  <c r="E128" i="1"/>
  <c r="E126" i="1"/>
  <c r="E125" i="1"/>
  <c r="E124" i="1"/>
  <c r="E122" i="1"/>
  <c r="E119" i="1"/>
  <c r="E118" i="1"/>
  <c r="E113" i="1"/>
  <c r="E112" i="1"/>
  <c r="E106" i="1"/>
  <c r="E105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6" i="1"/>
  <c r="E51" i="1"/>
  <c r="E50" i="1"/>
  <c r="E49" i="1"/>
  <c r="E48" i="1"/>
  <c r="E47" i="1"/>
  <c r="E44" i="1"/>
  <c r="E40" i="1"/>
  <c r="E37" i="1"/>
  <c r="E36" i="1"/>
  <c r="E33" i="1"/>
  <c r="E32" i="1"/>
  <c r="E31" i="1"/>
  <c r="E30" i="1"/>
  <c r="E29" i="1"/>
  <c r="E28" i="1"/>
  <c r="E27" i="1"/>
  <c r="E25" i="1"/>
  <c r="E24" i="1"/>
  <c r="E22" i="1"/>
  <c r="E21" i="1"/>
  <c r="E20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X55" i="1" l="1"/>
  <c r="AW208" i="1"/>
  <c r="AX226" i="1"/>
  <c r="AW230" i="1"/>
  <c r="AX198" i="1"/>
  <c r="AX230" i="1"/>
  <c r="AX223" i="1"/>
  <c r="AW58" i="1"/>
  <c r="AZ7" i="1"/>
  <c r="AW122" i="1"/>
  <c r="AZ131" i="1"/>
  <c r="AW198" i="1"/>
  <c r="AX5" i="1"/>
  <c r="AX13" i="1"/>
  <c r="AX21" i="1"/>
  <c r="AX29" i="1"/>
  <c r="AZ5" i="1"/>
  <c r="AW5" i="1"/>
  <c r="AZ13" i="1"/>
  <c r="AW13" i="1"/>
  <c r="AZ21" i="1"/>
  <c r="AW21" i="1"/>
  <c r="AZ29" i="1"/>
  <c r="AW29" i="1"/>
  <c r="AZ37" i="1"/>
  <c r="AW37" i="1"/>
  <c r="AZ45" i="1"/>
  <c r="AW45" i="1"/>
  <c r="AZ53" i="1"/>
  <c r="AW53" i="1"/>
  <c r="AZ61" i="1"/>
  <c r="AW61" i="1"/>
  <c r="AZ69" i="1"/>
  <c r="AW69" i="1"/>
  <c r="AZ77" i="1"/>
  <c r="AW77" i="1"/>
  <c r="AZ85" i="1"/>
  <c r="AW85" i="1"/>
  <c r="AZ93" i="1"/>
  <c r="AW93" i="1"/>
  <c r="AZ101" i="1"/>
  <c r="AW101" i="1"/>
  <c r="AZ109" i="1"/>
  <c r="AW109" i="1"/>
  <c r="AZ117" i="1"/>
  <c r="AW117" i="1"/>
  <c r="AZ125" i="1"/>
  <c r="AW125" i="1"/>
  <c r="AZ133" i="1"/>
  <c r="AW133" i="1"/>
  <c r="AZ141" i="1"/>
  <c r="AW141" i="1"/>
  <c r="AZ149" i="1"/>
  <c r="AW149" i="1"/>
  <c r="AZ3" i="1"/>
  <c r="AW3" i="1"/>
  <c r="AX11" i="1"/>
  <c r="AZ11" i="1"/>
  <c r="AW11" i="1"/>
  <c r="AZ19" i="1"/>
  <c r="AW19" i="1"/>
  <c r="AZ27" i="1"/>
  <c r="AX27" i="1"/>
  <c r="AW27" i="1"/>
  <c r="AZ35" i="1"/>
  <c r="AW35" i="1"/>
  <c r="AX43" i="1"/>
  <c r="AZ43" i="1"/>
  <c r="AW43" i="1"/>
  <c r="AZ51" i="1"/>
  <c r="AW51" i="1"/>
  <c r="AX59" i="1"/>
  <c r="AW59" i="1"/>
  <c r="AZ67" i="1"/>
  <c r="AW67" i="1"/>
  <c r="AX75" i="1"/>
  <c r="AZ75" i="1"/>
  <c r="AW75" i="1"/>
  <c r="AZ83" i="1"/>
  <c r="AW83" i="1"/>
  <c r="AZ91" i="1"/>
  <c r="AX91" i="1"/>
  <c r="AW91" i="1"/>
  <c r="AZ99" i="1"/>
  <c r="AW99" i="1"/>
  <c r="AX107" i="1"/>
  <c r="AZ107" i="1"/>
  <c r="AW107" i="1"/>
  <c r="AZ115" i="1"/>
  <c r="AW115" i="1"/>
  <c r="AZ123" i="1"/>
  <c r="AX123" i="1"/>
  <c r="AW123" i="1"/>
  <c r="AZ139" i="1"/>
  <c r="AX139" i="1"/>
  <c r="AW139" i="1"/>
  <c r="AZ147" i="1"/>
  <c r="AW147" i="1"/>
  <c r="AZ155" i="1"/>
  <c r="AX155" i="1"/>
  <c r="AZ163" i="1"/>
  <c r="AW163" i="1"/>
  <c r="AZ171" i="1"/>
  <c r="AX171" i="1"/>
  <c r="AW171" i="1"/>
  <c r="AZ179" i="1"/>
  <c r="AW179" i="1"/>
  <c r="AZ187" i="1"/>
  <c r="AX187" i="1"/>
  <c r="AX195" i="1"/>
  <c r="AW195" i="1"/>
  <c r="AZ195" i="1"/>
  <c r="AZ203" i="1"/>
  <c r="AW203" i="1"/>
  <c r="AZ211" i="1"/>
  <c r="AW211" i="1"/>
  <c r="AZ219" i="1"/>
  <c r="AX219" i="1"/>
  <c r="AX3" i="1"/>
  <c r="AX19" i="1"/>
  <c r="AX35" i="1"/>
  <c r="AX51" i="1"/>
  <c r="AX67" i="1"/>
  <c r="AX83" i="1"/>
  <c r="AX99" i="1"/>
  <c r="AX115" i="1"/>
  <c r="AX131" i="1"/>
  <c r="AX147" i="1"/>
  <c r="AX163" i="1"/>
  <c r="AX179" i="1"/>
  <c r="AX203" i="1"/>
  <c r="AX211" i="1"/>
  <c r="AW42" i="1"/>
  <c r="AW106" i="1"/>
  <c r="AW176" i="1"/>
  <c r="AX34" i="1"/>
  <c r="AZ84" i="1"/>
  <c r="AZ4" i="1"/>
  <c r="AW4" i="1"/>
  <c r="AZ12" i="1"/>
  <c r="AW12" i="1"/>
  <c r="AZ28" i="1"/>
  <c r="AW28" i="1"/>
  <c r="AZ36" i="1"/>
  <c r="AW36" i="1"/>
  <c r="AZ44" i="1"/>
  <c r="AW44" i="1"/>
  <c r="AZ52" i="1"/>
  <c r="AW52" i="1"/>
  <c r="AW60" i="1"/>
  <c r="AZ60" i="1"/>
  <c r="AZ68" i="1"/>
  <c r="AW68" i="1"/>
  <c r="AZ76" i="1"/>
  <c r="AW76" i="1"/>
  <c r="AZ92" i="1"/>
  <c r="AW92" i="1"/>
  <c r="AZ100" i="1"/>
  <c r="AW100" i="1"/>
  <c r="AZ108" i="1"/>
  <c r="AW108" i="1"/>
  <c r="AZ116" i="1"/>
  <c r="AW116" i="1"/>
  <c r="AZ124" i="1"/>
  <c r="AW124" i="1"/>
  <c r="AZ132" i="1"/>
  <c r="AW132" i="1"/>
  <c r="AZ140" i="1"/>
  <c r="AW140" i="1"/>
  <c r="AZ148" i="1"/>
  <c r="AW148" i="1"/>
  <c r="AZ156" i="1"/>
  <c r="AW156" i="1"/>
  <c r="AZ164" i="1"/>
  <c r="AW164" i="1"/>
  <c r="AZ172" i="1"/>
  <c r="AW172" i="1"/>
  <c r="AZ188" i="1"/>
  <c r="AW188" i="1"/>
  <c r="AZ196" i="1"/>
  <c r="AW196" i="1"/>
  <c r="AZ204" i="1"/>
  <c r="AW204" i="1"/>
  <c r="AZ212" i="1"/>
  <c r="AW212" i="1"/>
  <c r="AZ220" i="1"/>
  <c r="AW220" i="1"/>
  <c r="AZ228" i="1"/>
  <c r="AW228" i="1"/>
  <c r="AX4" i="1"/>
  <c r="AX20" i="1"/>
  <c r="AX28" i="1"/>
  <c r="AX36" i="1"/>
  <c r="AX52" i="1"/>
  <c r="AX60" i="1"/>
  <c r="AX68" i="1"/>
  <c r="AX84" i="1"/>
  <c r="AX92" i="1"/>
  <c r="AX100" i="1"/>
  <c r="AX116" i="1"/>
  <c r="AX124" i="1"/>
  <c r="AX132" i="1"/>
  <c r="AX148" i="1"/>
  <c r="AX156" i="1"/>
  <c r="AX164" i="1"/>
  <c r="AW50" i="1"/>
  <c r="AW114" i="1"/>
  <c r="AW187" i="1"/>
  <c r="AX44" i="1"/>
  <c r="AX130" i="1"/>
  <c r="AZ103" i="1"/>
  <c r="AZ6" i="1"/>
  <c r="AW6" i="1"/>
  <c r="AZ14" i="1"/>
  <c r="AW14" i="1"/>
  <c r="AW22" i="1"/>
  <c r="AZ22" i="1"/>
  <c r="AZ30" i="1"/>
  <c r="AW30" i="1"/>
  <c r="AW38" i="1"/>
  <c r="AZ38" i="1"/>
  <c r="AZ54" i="1"/>
  <c r="AW54" i="1"/>
  <c r="AW62" i="1"/>
  <c r="AZ62" i="1"/>
  <c r="AZ70" i="1"/>
  <c r="AW70" i="1"/>
  <c r="AZ78" i="1"/>
  <c r="AW78" i="1"/>
  <c r="AW86" i="1"/>
  <c r="AZ86" i="1"/>
  <c r="AZ94" i="1"/>
  <c r="AW94" i="1"/>
  <c r="AZ102" i="1"/>
  <c r="AW102" i="1"/>
  <c r="AZ110" i="1"/>
  <c r="AW110" i="1"/>
  <c r="AZ118" i="1"/>
  <c r="AW118" i="1"/>
  <c r="AZ126" i="1"/>
  <c r="AW126" i="1"/>
  <c r="AZ134" i="1"/>
  <c r="AW134" i="1"/>
  <c r="AW142" i="1"/>
  <c r="AZ142" i="1"/>
  <c r="AZ150" i="1"/>
  <c r="AW150" i="1"/>
  <c r="AZ158" i="1"/>
  <c r="AW158" i="1"/>
  <c r="AZ174" i="1"/>
  <c r="AW174" i="1"/>
  <c r="AW182" i="1"/>
  <c r="AZ182" i="1"/>
  <c r="AZ190" i="1"/>
  <c r="AW190" i="1"/>
  <c r="AW206" i="1"/>
  <c r="AZ206" i="1"/>
  <c r="AZ214" i="1"/>
  <c r="AW214" i="1"/>
  <c r="AZ222" i="1"/>
  <c r="AW222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X150" i="1"/>
  <c r="AX158" i="1"/>
  <c r="AX166" i="1"/>
  <c r="AX174" i="1"/>
  <c r="AX182" i="1"/>
  <c r="AX190" i="1"/>
  <c r="AX206" i="1"/>
  <c r="AX214" i="1"/>
  <c r="AX222" i="1"/>
  <c r="AW66" i="1"/>
  <c r="AW130" i="1"/>
  <c r="AX66" i="1"/>
  <c r="AZ20" i="1"/>
  <c r="AZ180" i="1"/>
  <c r="AZ15" i="1"/>
  <c r="AW15" i="1"/>
  <c r="AX15" i="1"/>
  <c r="AW23" i="1"/>
  <c r="AZ23" i="1"/>
  <c r="AZ31" i="1"/>
  <c r="AX31" i="1"/>
  <c r="AW31" i="1"/>
  <c r="AW39" i="1"/>
  <c r="AZ39" i="1"/>
  <c r="AW47" i="1"/>
  <c r="AX47" i="1"/>
  <c r="AZ47" i="1"/>
  <c r="AZ55" i="1"/>
  <c r="AW55" i="1"/>
  <c r="AX63" i="1"/>
  <c r="AW63" i="1"/>
  <c r="AZ63" i="1"/>
  <c r="AZ79" i="1"/>
  <c r="AW79" i="1"/>
  <c r="AX79" i="1"/>
  <c r="AW87" i="1"/>
  <c r="AZ87" i="1"/>
  <c r="AX95" i="1"/>
  <c r="AZ95" i="1"/>
  <c r="AW95" i="1"/>
  <c r="AZ111" i="1"/>
  <c r="AW111" i="1"/>
  <c r="AX111" i="1"/>
  <c r="AZ119" i="1"/>
  <c r="AW119" i="1"/>
  <c r="AZ127" i="1"/>
  <c r="AX127" i="1"/>
  <c r="AW127" i="1"/>
  <c r="AW135" i="1"/>
  <c r="AZ135" i="1"/>
  <c r="AW143" i="1"/>
  <c r="AZ143" i="1"/>
  <c r="AX143" i="1"/>
  <c r="AZ151" i="1"/>
  <c r="AW151" i="1"/>
  <c r="AZ159" i="1"/>
  <c r="AX159" i="1"/>
  <c r="AW159" i="1"/>
  <c r="AZ167" i="1"/>
  <c r="AW167" i="1"/>
  <c r="AZ175" i="1"/>
  <c r="AW175" i="1"/>
  <c r="AX175" i="1"/>
  <c r="AZ183" i="1"/>
  <c r="AX183" i="1"/>
  <c r="AW183" i="1"/>
  <c r="AZ191" i="1"/>
  <c r="AW191" i="1"/>
  <c r="AZ199" i="1"/>
  <c r="AW199" i="1"/>
  <c r="AW207" i="1"/>
  <c r="AX207" i="1"/>
  <c r="AZ207" i="1"/>
  <c r="AZ215" i="1"/>
  <c r="AW215" i="1"/>
  <c r="AX215" i="1"/>
  <c r="AX7" i="1"/>
  <c r="AX39" i="1"/>
  <c r="AX71" i="1"/>
  <c r="AX103" i="1"/>
  <c r="AX135" i="1"/>
  <c r="AX167" i="1"/>
  <c r="AX191" i="1"/>
  <c r="AX199" i="1"/>
  <c r="AW10" i="1"/>
  <c r="AW74" i="1"/>
  <c r="AW138" i="1"/>
  <c r="AW219" i="1"/>
  <c r="AX76" i="1"/>
  <c r="AZ34" i="1"/>
  <c r="AZ8" i="1"/>
  <c r="AW8" i="1"/>
  <c r="AZ16" i="1"/>
  <c r="AW16" i="1"/>
  <c r="AZ24" i="1"/>
  <c r="AW24" i="1"/>
  <c r="AZ32" i="1"/>
  <c r="AW32" i="1"/>
  <c r="AZ40" i="1"/>
  <c r="AW40" i="1"/>
  <c r="AZ48" i="1"/>
  <c r="AW48" i="1"/>
  <c r="AZ56" i="1"/>
  <c r="AW56" i="1"/>
  <c r="AZ64" i="1"/>
  <c r="AW64" i="1"/>
  <c r="AZ72" i="1"/>
  <c r="AW72" i="1"/>
  <c r="AZ80" i="1"/>
  <c r="AW80" i="1"/>
  <c r="AZ88" i="1"/>
  <c r="AW88" i="1"/>
  <c r="AZ96" i="1"/>
  <c r="AW96" i="1"/>
  <c r="AZ104" i="1"/>
  <c r="AW104" i="1"/>
  <c r="AW112" i="1"/>
  <c r="AZ112" i="1"/>
  <c r="AZ120" i="1"/>
  <c r="AW120" i="1"/>
  <c r="AZ128" i="1"/>
  <c r="AW128" i="1"/>
  <c r="AZ136" i="1"/>
  <c r="AW136" i="1"/>
  <c r="AZ144" i="1"/>
  <c r="AW144" i="1"/>
  <c r="AZ152" i="1"/>
  <c r="AW152" i="1"/>
  <c r="AZ160" i="1"/>
  <c r="AW160" i="1"/>
  <c r="AZ168" i="1"/>
  <c r="AW168" i="1"/>
  <c r="AZ184" i="1"/>
  <c r="AW184" i="1"/>
  <c r="AZ192" i="1"/>
  <c r="AW192" i="1"/>
  <c r="AZ200" i="1"/>
  <c r="AW200" i="1"/>
  <c r="AZ216" i="1"/>
  <c r="AW216" i="1"/>
  <c r="AZ224" i="1"/>
  <c r="AW224" i="1"/>
  <c r="AX8" i="1"/>
  <c r="AX16" i="1"/>
  <c r="AX24" i="1"/>
  <c r="AX32" i="1"/>
  <c r="AX40" i="1"/>
  <c r="AX48" i="1"/>
  <c r="AX56" i="1"/>
  <c r="AX64" i="1"/>
  <c r="AX72" i="1"/>
  <c r="AX80" i="1"/>
  <c r="AX88" i="1"/>
  <c r="AX96" i="1"/>
  <c r="AX104" i="1"/>
  <c r="AX112" i="1"/>
  <c r="AX120" i="1"/>
  <c r="AX128" i="1"/>
  <c r="AX136" i="1"/>
  <c r="AX144" i="1"/>
  <c r="AX152" i="1"/>
  <c r="AX160" i="1"/>
  <c r="AX168" i="1"/>
  <c r="AX176" i="1"/>
  <c r="AX192" i="1"/>
  <c r="AX200" i="1"/>
  <c r="AX208" i="1"/>
  <c r="AX216" i="1"/>
  <c r="AX224" i="1"/>
  <c r="AW18" i="1"/>
  <c r="AW82" i="1"/>
  <c r="AW146" i="1"/>
  <c r="AX87" i="1"/>
  <c r="AX172" i="1"/>
  <c r="AZ46" i="1"/>
  <c r="AZ9" i="1"/>
  <c r="AW9" i="1"/>
  <c r="AZ17" i="1"/>
  <c r="AW17" i="1"/>
  <c r="AZ25" i="1"/>
  <c r="AW25" i="1"/>
  <c r="AZ33" i="1"/>
  <c r="AW33" i="1"/>
  <c r="AZ41" i="1"/>
  <c r="AW41" i="1"/>
  <c r="AZ49" i="1"/>
  <c r="AW49" i="1"/>
  <c r="AZ57" i="1"/>
  <c r="AW57" i="1"/>
  <c r="AZ65" i="1"/>
  <c r="AW65" i="1"/>
  <c r="AZ73" i="1"/>
  <c r="AW73" i="1"/>
  <c r="AZ81" i="1"/>
  <c r="AW81" i="1"/>
  <c r="AZ89" i="1"/>
  <c r="AW89" i="1"/>
  <c r="AZ97" i="1"/>
  <c r="AW97" i="1"/>
  <c r="AZ105" i="1"/>
  <c r="AW105" i="1"/>
  <c r="AZ113" i="1"/>
  <c r="AW113" i="1"/>
  <c r="AZ121" i="1"/>
  <c r="AW121" i="1"/>
  <c r="AZ129" i="1"/>
  <c r="AW129" i="1"/>
  <c r="AZ137" i="1"/>
  <c r="AW137" i="1"/>
  <c r="AZ145" i="1"/>
  <c r="AW145" i="1"/>
  <c r="AZ153" i="1"/>
  <c r="AW153" i="1"/>
  <c r="AZ161" i="1"/>
  <c r="AW161" i="1"/>
  <c r="AZ169" i="1"/>
  <c r="AW169" i="1"/>
  <c r="AZ177" i="1"/>
  <c r="AW177" i="1"/>
  <c r="AZ185" i="1"/>
  <c r="AW185" i="1"/>
  <c r="AZ193" i="1"/>
  <c r="AW193" i="1"/>
  <c r="AZ201" i="1"/>
  <c r="AW201" i="1"/>
  <c r="AZ209" i="1"/>
  <c r="AW209" i="1"/>
  <c r="AZ217" i="1"/>
  <c r="AW217" i="1"/>
  <c r="AZ225" i="1"/>
  <c r="AW225" i="1"/>
  <c r="AX9" i="1"/>
  <c r="AX17" i="1"/>
  <c r="AX25" i="1"/>
  <c r="AW26" i="1"/>
  <c r="AW90" i="1"/>
  <c r="AW155" i="1"/>
  <c r="AX12" i="1"/>
  <c r="AX98" i="1"/>
  <c r="AX184" i="1"/>
  <c r="AZ59" i="1"/>
  <c r="AZ154" i="1"/>
  <c r="AW154" i="1"/>
  <c r="AZ162" i="1"/>
  <c r="AW162" i="1"/>
  <c r="AZ170" i="1"/>
  <c r="AW170" i="1"/>
  <c r="AZ178" i="1"/>
  <c r="AW178" i="1"/>
  <c r="AZ186" i="1"/>
  <c r="AW186" i="1"/>
  <c r="AW194" i="1"/>
  <c r="AZ194" i="1"/>
  <c r="AZ202" i="1"/>
  <c r="AW202" i="1"/>
  <c r="AZ210" i="1"/>
  <c r="AW210" i="1"/>
  <c r="AZ218" i="1"/>
  <c r="AW218" i="1"/>
  <c r="AX10" i="1"/>
  <c r="AX18" i="1"/>
  <c r="AX26" i="1"/>
  <c r="AX42" i="1"/>
  <c r="AX50" i="1"/>
  <c r="AX58" i="1"/>
  <c r="AX74" i="1"/>
  <c r="AX82" i="1"/>
  <c r="AX90" i="1"/>
  <c r="AX106" i="1"/>
  <c r="AX114" i="1"/>
  <c r="AX122" i="1"/>
  <c r="AX138" i="1"/>
  <c r="AX146" i="1"/>
  <c r="AX154" i="1"/>
  <c r="AX170" i="1"/>
  <c r="AX178" i="1"/>
  <c r="AX186" i="1"/>
  <c r="AX194" i="1"/>
  <c r="AX202" i="1"/>
  <c r="AX218" i="1"/>
  <c r="AW98" i="1"/>
  <c r="AW166" i="1"/>
  <c r="AX23" i="1"/>
  <c r="AX108" i="1"/>
  <c r="AZ71" i="1"/>
  <c r="AX33" i="1"/>
  <c r="AX41" i="1"/>
  <c r="AX49" i="1"/>
  <c r="AX57" i="1"/>
  <c r="AX65" i="1"/>
  <c r="AX73" i="1"/>
  <c r="AX81" i="1"/>
  <c r="AX89" i="1"/>
  <c r="AX97" i="1"/>
  <c r="AX105" i="1"/>
  <c r="AX113" i="1"/>
  <c r="AX121" i="1"/>
  <c r="AX129" i="1"/>
  <c r="AX137" i="1"/>
  <c r="AX145" i="1"/>
  <c r="AX153" i="1"/>
  <c r="AX161" i="1"/>
  <c r="AX169" i="1"/>
  <c r="AX177" i="1"/>
  <c r="AX185" i="1"/>
  <c r="AX193" i="1"/>
  <c r="AX201" i="1"/>
  <c r="AX209" i="1"/>
  <c r="AX217" i="1"/>
  <c r="AX225" i="1"/>
  <c r="AW223" i="1"/>
  <c r="AX227" i="1"/>
  <c r="AZ157" i="1"/>
  <c r="AW157" i="1"/>
  <c r="AZ165" i="1"/>
  <c r="AW165" i="1"/>
  <c r="AZ173" i="1"/>
  <c r="AW173" i="1"/>
  <c r="AZ181" i="1"/>
  <c r="AW181" i="1"/>
  <c r="AZ189" i="1"/>
  <c r="AW189" i="1"/>
  <c r="AZ197" i="1"/>
  <c r="AW197" i="1"/>
  <c r="AZ205" i="1"/>
  <c r="AW205" i="1"/>
  <c r="AZ213" i="1"/>
  <c r="AW213" i="1"/>
  <c r="AZ221" i="1"/>
  <c r="AW221" i="1"/>
  <c r="AZ229" i="1"/>
  <c r="AW229" i="1"/>
  <c r="AW226" i="1"/>
  <c r="AX180" i="1"/>
  <c r="AX188" i="1"/>
  <c r="AX196" i="1"/>
  <c r="AX204" i="1"/>
  <c r="AX212" i="1"/>
  <c r="AX220" i="1"/>
  <c r="AX228" i="1"/>
  <c r="AW227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X149" i="1"/>
  <c r="AX157" i="1"/>
  <c r="AX165" i="1"/>
  <c r="AX173" i="1"/>
  <c r="AX181" i="1"/>
  <c r="AX189" i="1"/>
  <c r="AX197" i="1"/>
  <c r="AX205" i="1"/>
  <c r="AX213" i="1"/>
  <c r="AX221" i="1"/>
  <c r="AX229" i="1"/>
  <c r="D29" i="4"/>
  <c r="D24" i="4"/>
  <c r="D25" i="4"/>
  <c r="D26" i="4"/>
  <c r="D27" i="4"/>
  <c r="D28" i="4"/>
  <c r="BC2" i="1" l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A7" i="8" s="1"/>
  <c r="T7" i="8" s="1"/>
  <c r="S8" i="8"/>
  <c r="A8" i="8" s="1"/>
  <c r="T8" i="8" s="1"/>
  <c r="S9" i="8"/>
  <c r="S10" i="8"/>
  <c r="A10" i="8" s="1"/>
  <c r="T10" i="8" s="1"/>
  <c r="S11" i="8"/>
  <c r="S12" i="8"/>
  <c r="S13" i="8"/>
  <c r="S14" i="8"/>
  <c r="S15" i="8"/>
  <c r="A15" i="8" s="1"/>
  <c r="T15" i="8" s="1"/>
  <c r="S16" i="8"/>
  <c r="A16" i="8" s="1"/>
  <c r="T16" i="8" s="1"/>
  <c r="S17" i="8"/>
  <c r="S18" i="8"/>
  <c r="A18" i="8" s="1"/>
  <c r="T18" i="8" s="1"/>
  <c r="S19" i="8"/>
  <c r="S20" i="8"/>
  <c r="S21" i="8"/>
  <c r="S22" i="8"/>
  <c r="S23" i="8"/>
  <c r="A23" i="8" s="1"/>
  <c r="T23" i="8" s="1"/>
  <c r="S24" i="8"/>
  <c r="A24" i="8" s="1"/>
  <c r="T24" i="8" s="1"/>
  <c r="S25" i="8"/>
  <c r="S26" i="8"/>
  <c r="A26" i="8" s="1"/>
  <c r="T26" i="8" s="1"/>
  <c r="S27" i="8"/>
  <c r="S28" i="8"/>
  <c r="S29" i="8"/>
  <c r="S30" i="8"/>
  <c r="S31" i="8"/>
  <c r="S32" i="8"/>
  <c r="A32" i="8" s="1"/>
  <c r="T32" i="8" s="1"/>
  <c r="S33" i="8"/>
  <c r="S34" i="8"/>
  <c r="A34" i="8" s="1"/>
  <c r="T34" i="8" s="1"/>
  <c r="S35" i="8"/>
  <c r="S36" i="8"/>
  <c r="S37" i="8"/>
  <c r="S38" i="8"/>
  <c r="S39" i="8"/>
  <c r="S40" i="8"/>
  <c r="A40" i="8" s="1"/>
  <c r="T40" i="8" s="1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A55" i="8" s="1"/>
  <c r="T55" i="8" s="1"/>
  <c r="S56" i="8"/>
  <c r="A56" i="8" s="1"/>
  <c r="T56" i="8" s="1"/>
  <c r="S57" i="8"/>
  <c r="S58" i="8"/>
  <c r="A58" i="8" s="1"/>
  <c r="T58" i="8" s="1"/>
  <c r="S59" i="8"/>
  <c r="S60" i="8"/>
  <c r="S61" i="8"/>
  <c r="S62" i="8"/>
  <c r="S63" i="8"/>
  <c r="S64" i="8"/>
  <c r="A64" i="8" s="1"/>
  <c r="T64" i="8" s="1"/>
  <c r="S65" i="8"/>
  <c r="S66" i="8"/>
  <c r="A66" i="8" s="1"/>
  <c r="T66" i="8" s="1"/>
  <c r="S67" i="8"/>
  <c r="S68" i="8"/>
  <c r="S69" i="8"/>
  <c r="S70" i="8"/>
  <c r="S71" i="8"/>
  <c r="A71" i="8" s="1"/>
  <c r="T71" i="8" s="1"/>
  <c r="S72" i="8"/>
  <c r="A72" i="8" s="1"/>
  <c r="T72" i="8" s="1"/>
  <c r="S73" i="8"/>
  <c r="S74" i="8"/>
  <c r="A74" i="8" s="1"/>
  <c r="T74" i="8" s="1"/>
  <c r="S75" i="8"/>
  <c r="S76" i="8"/>
  <c r="S77" i="8"/>
  <c r="S78" i="8"/>
  <c r="S79" i="8"/>
  <c r="A79" i="8" s="1"/>
  <c r="T79" i="8" s="1"/>
  <c r="S80" i="8"/>
  <c r="A80" i="8" s="1"/>
  <c r="T80" i="8" s="1"/>
  <c r="S81" i="8"/>
  <c r="S82" i="8"/>
  <c r="A82" i="8" s="1"/>
  <c r="T82" i="8" s="1"/>
  <c r="S83" i="8"/>
  <c r="S84" i="8"/>
  <c r="S85" i="8"/>
  <c r="S86" i="8"/>
  <c r="S87" i="8"/>
  <c r="A87" i="8" s="1"/>
  <c r="T87" i="8" s="1"/>
  <c r="S88" i="8"/>
  <c r="A88" i="8" s="1"/>
  <c r="T88" i="8" s="1"/>
  <c r="S89" i="8"/>
  <c r="S90" i="8"/>
  <c r="A90" i="8" s="1"/>
  <c r="T90" i="8" s="1"/>
  <c r="S91" i="8"/>
  <c r="S92" i="8"/>
  <c r="S93" i="8"/>
  <c r="S94" i="8"/>
  <c r="S95" i="8"/>
  <c r="S96" i="8"/>
  <c r="A96" i="8" s="1"/>
  <c r="T96" i="8" s="1"/>
  <c r="S97" i="8"/>
  <c r="S98" i="8"/>
  <c r="A98" i="8" s="1"/>
  <c r="T98" i="8" s="1"/>
  <c r="S99" i="8"/>
  <c r="S100" i="8"/>
  <c r="S101" i="8"/>
  <c r="S102" i="8"/>
  <c r="S103" i="8"/>
  <c r="S104" i="8"/>
  <c r="A104" i="8" s="1"/>
  <c r="T104" i="8" s="1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A119" i="8" s="1"/>
  <c r="T119" i="8" s="1"/>
  <c r="S120" i="8"/>
  <c r="A120" i="8" s="1"/>
  <c r="T120" i="8" s="1"/>
  <c r="S121" i="8"/>
  <c r="S122" i="8"/>
  <c r="A122" i="8" s="1"/>
  <c r="T122" i="8" s="1"/>
  <c r="S123" i="8"/>
  <c r="S124" i="8"/>
  <c r="S125" i="8"/>
  <c r="S126" i="8"/>
  <c r="S127" i="8"/>
  <c r="S128" i="8"/>
  <c r="A128" i="8" s="1"/>
  <c r="T128" i="8" s="1"/>
  <c r="S129" i="8"/>
  <c r="S130" i="8"/>
  <c r="A130" i="8" s="1"/>
  <c r="T130" i="8" s="1"/>
  <c r="S131" i="8"/>
  <c r="S132" i="8"/>
  <c r="S133" i="8"/>
  <c r="S134" i="8"/>
  <c r="S135" i="8"/>
  <c r="A135" i="8" s="1"/>
  <c r="T135" i="8" s="1"/>
  <c r="S136" i="8"/>
  <c r="A136" i="8" s="1"/>
  <c r="T136" i="8" s="1"/>
  <c r="S137" i="8"/>
  <c r="S138" i="8"/>
  <c r="A138" i="8" s="1"/>
  <c r="T138" i="8" s="1"/>
  <c r="S139" i="8"/>
  <c r="S140" i="8"/>
  <c r="S141" i="8"/>
  <c r="S142" i="8"/>
  <c r="S143" i="8"/>
  <c r="A143" i="8" s="1"/>
  <c r="T143" i="8" s="1"/>
  <c r="S144" i="8"/>
  <c r="A144" i="8" s="1"/>
  <c r="T144" i="8" s="1"/>
  <c r="S145" i="8"/>
  <c r="S146" i="8"/>
  <c r="A146" i="8" s="1"/>
  <c r="T146" i="8" s="1"/>
  <c r="S147" i="8"/>
  <c r="S148" i="8"/>
  <c r="S149" i="8"/>
  <c r="S150" i="8"/>
  <c r="S151" i="8"/>
  <c r="A151" i="8" s="1"/>
  <c r="T151" i="8" s="1"/>
  <c r="S152" i="8"/>
  <c r="A152" i="8" s="1"/>
  <c r="T152" i="8" s="1"/>
  <c r="S153" i="8"/>
  <c r="S154" i="8"/>
  <c r="A154" i="8" s="1"/>
  <c r="T154" i="8" s="1"/>
  <c r="S155" i="8"/>
  <c r="S156" i="8"/>
  <c r="S157" i="8"/>
  <c r="S158" i="8"/>
  <c r="S159" i="8"/>
  <c r="S160" i="8"/>
  <c r="A160" i="8" s="1"/>
  <c r="T160" i="8" s="1"/>
  <c r="S161" i="8"/>
  <c r="S162" i="8"/>
  <c r="A162" i="8" s="1"/>
  <c r="T162" i="8" s="1"/>
  <c r="S163" i="8"/>
  <c r="S164" i="8"/>
  <c r="S165" i="8"/>
  <c r="S166" i="8"/>
  <c r="S167" i="8"/>
  <c r="S168" i="8"/>
  <c r="A168" i="8" s="1"/>
  <c r="T168" i="8" s="1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A183" i="8" s="1"/>
  <c r="T183" i="8" s="1"/>
  <c r="S184" i="8"/>
  <c r="A184" i="8" s="1"/>
  <c r="T184" i="8" s="1"/>
  <c r="S185" i="8"/>
  <c r="S186" i="8"/>
  <c r="A186" i="8" s="1"/>
  <c r="T186" i="8" s="1"/>
  <c r="S187" i="8"/>
  <c r="S188" i="8"/>
  <c r="S189" i="8"/>
  <c r="S190" i="8"/>
  <c r="S191" i="8"/>
  <c r="S192" i="8"/>
  <c r="A192" i="8" s="1"/>
  <c r="T192" i="8" s="1"/>
  <c r="S193" i="8"/>
  <c r="S194" i="8"/>
  <c r="A194" i="8" s="1"/>
  <c r="T194" i="8" s="1"/>
  <c r="S195" i="8"/>
  <c r="S196" i="8"/>
  <c r="S197" i="8"/>
  <c r="S198" i="8"/>
  <c r="S199" i="8"/>
  <c r="A199" i="8" s="1"/>
  <c r="T199" i="8" s="1"/>
  <c r="S200" i="8"/>
  <c r="A200" i="8" s="1"/>
  <c r="T200" i="8" s="1"/>
  <c r="S201" i="8"/>
  <c r="S202" i="8"/>
  <c r="A202" i="8" s="1"/>
  <c r="T202" i="8" s="1"/>
  <c r="S203" i="8"/>
  <c r="S204" i="8"/>
  <c r="S205" i="8"/>
  <c r="S206" i="8"/>
  <c r="S207" i="8"/>
  <c r="A207" i="8" s="1"/>
  <c r="T207" i="8" s="1"/>
  <c r="S208" i="8"/>
  <c r="A208" i="8" s="1"/>
  <c r="T208" i="8" s="1"/>
  <c r="S209" i="8"/>
  <c r="S210" i="8"/>
  <c r="A210" i="8" s="1"/>
  <c r="T210" i="8" s="1"/>
  <c r="S211" i="8"/>
  <c r="S212" i="8"/>
  <c r="S213" i="8"/>
  <c r="S214" i="8"/>
  <c r="S215" i="8"/>
  <c r="A215" i="8" s="1"/>
  <c r="T215" i="8" s="1"/>
  <c r="S216" i="8"/>
  <c r="A216" i="8" s="1"/>
  <c r="T216" i="8" s="1"/>
  <c r="S217" i="8"/>
  <c r="S218" i="8"/>
  <c r="A218" i="8" s="1"/>
  <c r="T218" i="8" s="1"/>
  <c r="S219" i="8"/>
  <c r="S220" i="8"/>
  <c r="S221" i="8"/>
  <c r="S222" i="8"/>
  <c r="S223" i="8"/>
  <c r="S224" i="8"/>
  <c r="A224" i="8" s="1"/>
  <c r="T224" i="8" s="1"/>
  <c r="S225" i="8"/>
  <c r="S226" i="8"/>
  <c r="A226" i="8" s="1"/>
  <c r="T226" i="8" s="1"/>
  <c r="S227" i="8"/>
  <c r="S228" i="8"/>
  <c r="S229" i="8"/>
  <c r="S230" i="8"/>
  <c r="S231" i="8"/>
  <c r="S232" i="8"/>
  <c r="A232" i="8" s="1"/>
  <c r="T232" i="8" s="1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A247" i="8" s="1"/>
  <c r="T247" i="8" s="1"/>
  <c r="S248" i="8"/>
  <c r="A248" i="8" s="1"/>
  <c r="T248" i="8" s="1"/>
  <c r="S249" i="8"/>
  <c r="S250" i="8"/>
  <c r="A250" i="8" s="1"/>
  <c r="T250" i="8" s="1"/>
  <c r="S251" i="8"/>
  <c r="S252" i="8"/>
  <c r="S253" i="8"/>
  <c r="S254" i="8"/>
  <c r="S255" i="8"/>
  <c r="S256" i="8"/>
  <c r="A256" i="8" s="1"/>
  <c r="T256" i="8" s="1"/>
  <c r="S257" i="8"/>
  <c r="S258" i="8"/>
  <c r="A258" i="8" s="1"/>
  <c r="T258" i="8" s="1"/>
  <c r="S259" i="8"/>
  <c r="S260" i="8"/>
  <c r="S261" i="8"/>
  <c r="S262" i="8"/>
  <c r="S263" i="8"/>
  <c r="A263" i="8" s="1"/>
  <c r="T263" i="8" s="1"/>
  <c r="S264" i="8"/>
  <c r="A264" i="8" s="1"/>
  <c r="T264" i="8" s="1"/>
  <c r="S265" i="8"/>
  <c r="S266" i="8"/>
  <c r="A266" i="8" s="1"/>
  <c r="T266" i="8" s="1"/>
  <c r="S267" i="8"/>
  <c r="S268" i="8"/>
  <c r="S269" i="8"/>
  <c r="S270" i="8"/>
  <c r="S271" i="8"/>
  <c r="A271" i="8" s="1"/>
  <c r="T271" i="8" s="1"/>
  <c r="S272" i="8"/>
  <c r="A272" i="8" s="1"/>
  <c r="T272" i="8" s="1"/>
  <c r="S273" i="8"/>
  <c r="S274" i="8"/>
  <c r="A274" i="8" s="1"/>
  <c r="T274" i="8" s="1"/>
  <c r="S275" i="8"/>
  <c r="S276" i="8"/>
  <c r="S277" i="8"/>
  <c r="S278" i="8"/>
  <c r="S279" i="8"/>
  <c r="A279" i="8" s="1"/>
  <c r="T279" i="8" s="1"/>
  <c r="S280" i="8"/>
  <c r="A280" i="8" s="1"/>
  <c r="T280" i="8" s="1"/>
  <c r="S281" i="8"/>
  <c r="S282" i="8"/>
  <c r="A282" i="8" s="1"/>
  <c r="T282" i="8" s="1"/>
  <c r="S283" i="8"/>
  <c r="S284" i="8"/>
  <c r="S285" i="8"/>
  <c r="S286" i="8"/>
  <c r="S287" i="8"/>
  <c r="S288" i="8"/>
  <c r="A288" i="8" s="1"/>
  <c r="T288" i="8" s="1"/>
  <c r="S289" i="8"/>
  <c r="S290" i="8"/>
  <c r="A290" i="8" s="1"/>
  <c r="T290" i="8" s="1"/>
  <c r="S291" i="8"/>
  <c r="S292" i="8"/>
  <c r="S293" i="8"/>
  <c r="S294" i="8"/>
  <c r="S295" i="8"/>
  <c r="S296" i="8"/>
  <c r="A296" i="8" s="1"/>
  <c r="T296" i="8" s="1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A311" i="8" s="1"/>
  <c r="T311" i="8" s="1"/>
  <c r="S312" i="8"/>
  <c r="A312" i="8" s="1"/>
  <c r="T312" i="8" s="1"/>
  <c r="S313" i="8"/>
  <c r="S314" i="8"/>
  <c r="A314" i="8" s="1"/>
  <c r="T314" i="8" s="1"/>
  <c r="S315" i="8"/>
  <c r="S316" i="8"/>
  <c r="S317" i="8"/>
  <c r="S318" i="8"/>
  <c r="S319" i="8"/>
  <c r="S320" i="8"/>
  <c r="A320" i="8" s="1"/>
  <c r="T320" i="8" s="1"/>
  <c r="S321" i="8"/>
  <c r="S322" i="8"/>
  <c r="A322" i="8" s="1"/>
  <c r="T322" i="8" s="1"/>
  <c r="S323" i="8"/>
  <c r="S324" i="8"/>
  <c r="S325" i="8"/>
  <c r="S326" i="8"/>
  <c r="S327" i="8"/>
  <c r="A327" i="8" s="1"/>
  <c r="T327" i="8" s="1"/>
  <c r="S328" i="8"/>
  <c r="A328" i="8" s="1"/>
  <c r="T328" i="8" s="1"/>
  <c r="S329" i="8"/>
  <c r="S330" i="8"/>
  <c r="A330" i="8" s="1"/>
  <c r="T330" i="8" s="1"/>
  <c r="S331" i="8"/>
  <c r="S332" i="8"/>
  <c r="S333" i="8"/>
  <c r="S334" i="8"/>
  <c r="S335" i="8"/>
  <c r="A335" i="8" s="1"/>
  <c r="T335" i="8" s="1"/>
  <c r="S336" i="8"/>
  <c r="A336" i="8" s="1"/>
  <c r="T336" i="8" s="1"/>
  <c r="S337" i="8"/>
  <c r="S338" i="8"/>
  <c r="A338" i="8" s="1"/>
  <c r="T338" i="8" s="1"/>
  <c r="S339" i="8"/>
  <c r="S340" i="8"/>
  <c r="S341" i="8"/>
  <c r="S342" i="8"/>
  <c r="S343" i="8"/>
  <c r="A343" i="8" s="1"/>
  <c r="T343" i="8" s="1"/>
  <c r="S344" i="8"/>
  <c r="A344" i="8" s="1"/>
  <c r="T344" i="8" s="1"/>
  <c r="S345" i="8"/>
  <c r="S346" i="8"/>
  <c r="A346" i="8" s="1"/>
  <c r="T346" i="8" s="1"/>
  <c r="S347" i="8"/>
  <c r="S348" i="8"/>
  <c r="S349" i="8"/>
  <c r="S350" i="8"/>
  <c r="S351" i="8"/>
  <c r="S352" i="8"/>
  <c r="A352" i="8" s="1"/>
  <c r="T352" i="8" s="1"/>
  <c r="S353" i="8"/>
  <c r="S354" i="8"/>
  <c r="A354" i="8" s="1"/>
  <c r="T354" i="8" s="1"/>
  <c r="S355" i="8"/>
  <c r="S356" i="8"/>
  <c r="S357" i="8"/>
  <c r="S358" i="8"/>
  <c r="S359" i="8"/>
  <c r="S360" i="8"/>
  <c r="A360" i="8" s="1"/>
  <c r="T360" i="8" s="1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A473" i="8" s="1"/>
  <c r="T473" i="8" s="1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9" i="8"/>
  <c r="T9" i="8" s="1"/>
  <c r="A11" i="8"/>
  <c r="T11" i="8" s="1"/>
  <c r="A12" i="8"/>
  <c r="T12" i="8" s="1"/>
  <c r="A13" i="8"/>
  <c r="T13" i="8" s="1"/>
  <c r="A14" i="8"/>
  <c r="T14" i="8" s="1"/>
  <c r="A17" i="8"/>
  <c r="T17" i="8" s="1"/>
  <c r="A19" i="8"/>
  <c r="T19" i="8" s="1"/>
  <c r="A20" i="8"/>
  <c r="T20" i="8" s="1"/>
  <c r="A21" i="8"/>
  <c r="T21" i="8" s="1"/>
  <c r="A22" i="8"/>
  <c r="T22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5" i="8"/>
  <c r="T65" i="8" s="1"/>
  <c r="A67" i="8"/>
  <c r="T67" i="8" s="1"/>
  <c r="A68" i="8"/>
  <c r="T68" i="8" s="1"/>
  <c r="A69" i="8"/>
  <c r="T69" i="8" s="1"/>
  <c r="A70" i="8"/>
  <c r="T70" i="8" s="1"/>
  <c r="A73" i="8"/>
  <c r="T73" i="8" s="1"/>
  <c r="A75" i="8"/>
  <c r="T75" i="8" s="1"/>
  <c r="A76" i="8"/>
  <c r="T76" i="8" s="1"/>
  <c r="A77" i="8"/>
  <c r="T77" i="8" s="1"/>
  <c r="A78" i="8"/>
  <c r="T78" i="8" s="1"/>
  <c r="A81" i="8"/>
  <c r="T81" i="8" s="1"/>
  <c r="A83" i="8"/>
  <c r="T83" i="8" s="1"/>
  <c r="A84" i="8"/>
  <c r="T84" i="8" s="1"/>
  <c r="A85" i="8"/>
  <c r="T85" i="8" s="1"/>
  <c r="A86" i="8"/>
  <c r="T86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9" i="8"/>
  <c r="T129" i="8" s="1"/>
  <c r="A131" i="8"/>
  <c r="T131" i="8" s="1"/>
  <c r="A132" i="8"/>
  <c r="T132" i="8" s="1"/>
  <c r="A133" i="8"/>
  <c r="T133" i="8" s="1"/>
  <c r="A134" i="8"/>
  <c r="T134" i="8" s="1"/>
  <c r="A137" i="8"/>
  <c r="T137" i="8" s="1"/>
  <c r="A139" i="8"/>
  <c r="T139" i="8" s="1"/>
  <c r="A140" i="8"/>
  <c r="T140" i="8" s="1"/>
  <c r="A141" i="8"/>
  <c r="T141" i="8" s="1"/>
  <c r="A142" i="8"/>
  <c r="T142" i="8" s="1"/>
  <c r="A145" i="8"/>
  <c r="T145" i="8" s="1"/>
  <c r="A147" i="8"/>
  <c r="T147" i="8" s="1"/>
  <c r="A148" i="8"/>
  <c r="T148" i="8" s="1"/>
  <c r="A149" i="8"/>
  <c r="T149" i="8" s="1"/>
  <c r="A150" i="8"/>
  <c r="T150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3" i="8"/>
  <c r="T193" i="8" s="1"/>
  <c r="A195" i="8"/>
  <c r="T195" i="8" s="1"/>
  <c r="A196" i="8"/>
  <c r="T196" i="8" s="1"/>
  <c r="A197" i="8"/>
  <c r="T197" i="8" s="1"/>
  <c r="A198" i="8"/>
  <c r="T198" i="8" s="1"/>
  <c r="A201" i="8"/>
  <c r="T201" i="8" s="1"/>
  <c r="A203" i="8"/>
  <c r="T203" i="8" s="1"/>
  <c r="A204" i="8"/>
  <c r="T204" i="8" s="1"/>
  <c r="A205" i="8"/>
  <c r="T205" i="8" s="1"/>
  <c r="A206" i="8"/>
  <c r="T206" i="8" s="1"/>
  <c r="A209" i="8"/>
  <c r="T209" i="8" s="1"/>
  <c r="A211" i="8"/>
  <c r="T211" i="8" s="1"/>
  <c r="A212" i="8"/>
  <c r="T212" i="8" s="1"/>
  <c r="A213" i="8"/>
  <c r="T213" i="8" s="1"/>
  <c r="A214" i="8"/>
  <c r="T214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7" i="8"/>
  <c r="T257" i="8" s="1"/>
  <c r="A259" i="8"/>
  <c r="T259" i="8" s="1"/>
  <c r="A260" i="8"/>
  <c r="T260" i="8" s="1"/>
  <c r="A261" i="8"/>
  <c r="T261" i="8" s="1"/>
  <c r="A262" i="8"/>
  <c r="T262" i="8" s="1"/>
  <c r="A265" i="8"/>
  <c r="T265" i="8" s="1"/>
  <c r="A267" i="8"/>
  <c r="T267" i="8" s="1"/>
  <c r="A268" i="8"/>
  <c r="T268" i="8" s="1"/>
  <c r="A269" i="8"/>
  <c r="T269" i="8" s="1"/>
  <c r="A270" i="8"/>
  <c r="T270" i="8" s="1"/>
  <c r="A273" i="8"/>
  <c r="T273" i="8" s="1"/>
  <c r="A275" i="8"/>
  <c r="T275" i="8" s="1"/>
  <c r="A276" i="8"/>
  <c r="T276" i="8" s="1"/>
  <c r="A277" i="8"/>
  <c r="T277" i="8" s="1"/>
  <c r="A278" i="8"/>
  <c r="T278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1" i="8"/>
  <c r="T321" i="8" s="1"/>
  <c r="A323" i="8"/>
  <c r="T323" i="8" s="1"/>
  <c r="A324" i="8"/>
  <c r="T324" i="8" s="1"/>
  <c r="A325" i="8"/>
  <c r="T325" i="8" s="1"/>
  <c r="A326" i="8"/>
  <c r="T326" i="8" s="1"/>
  <c r="A329" i="8"/>
  <c r="T329" i="8" s="1"/>
  <c r="A331" i="8"/>
  <c r="T331" i="8" s="1"/>
  <c r="A332" i="8"/>
  <c r="T332" i="8" s="1"/>
  <c r="A333" i="8"/>
  <c r="T333" i="8" s="1"/>
  <c r="A334" i="8"/>
  <c r="T334" i="8" s="1"/>
  <c r="A337" i="8"/>
  <c r="T337" i="8" s="1"/>
  <c r="A339" i="8"/>
  <c r="T339" i="8" s="1"/>
  <c r="A340" i="8"/>
  <c r="T340" i="8" s="1"/>
  <c r="A341" i="8"/>
  <c r="T341" i="8" s="1"/>
  <c r="A342" i="8"/>
  <c r="T342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P19" i="1" l="1"/>
  <c r="BB7" i="1"/>
  <c r="BB15" i="1"/>
  <c r="BB23" i="1"/>
  <c r="BB31" i="1"/>
  <c r="BB39" i="1"/>
  <c r="BB47" i="1"/>
  <c r="BB55" i="1"/>
  <c r="BB63" i="1"/>
  <c r="BB71" i="1"/>
  <c r="BB79" i="1"/>
  <c r="BB87" i="1"/>
  <c r="BB95" i="1"/>
  <c r="BB103" i="1"/>
  <c r="BB111" i="1"/>
  <c r="BB119" i="1"/>
  <c r="BB127" i="1"/>
  <c r="BB135" i="1"/>
  <c r="BB143" i="1"/>
  <c r="BB151" i="1"/>
  <c r="BB159" i="1"/>
  <c r="BB167" i="1"/>
  <c r="BB175" i="1"/>
  <c r="BB183" i="1"/>
  <c r="BB191" i="1"/>
  <c r="BB199" i="1"/>
  <c r="BB207" i="1"/>
  <c r="BB215" i="1"/>
  <c r="BB223" i="1"/>
  <c r="BB8" i="1"/>
  <c r="BB16" i="1"/>
  <c r="BB24" i="1"/>
  <c r="BB32" i="1"/>
  <c r="BB40" i="1"/>
  <c r="BB48" i="1"/>
  <c r="BB56" i="1"/>
  <c r="BB64" i="1"/>
  <c r="BB72" i="1"/>
  <c r="BB80" i="1"/>
  <c r="BB88" i="1"/>
  <c r="BB96" i="1"/>
  <c r="BB104" i="1"/>
  <c r="BB112" i="1"/>
  <c r="BB120" i="1"/>
  <c r="BB128" i="1"/>
  <c r="BB136" i="1"/>
  <c r="BB144" i="1"/>
  <c r="BB152" i="1"/>
  <c r="BB160" i="1"/>
  <c r="BB168" i="1"/>
  <c r="BB176" i="1"/>
  <c r="BB184" i="1"/>
  <c r="BB192" i="1"/>
  <c r="BB200" i="1"/>
  <c r="BB208" i="1"/>
  <c r="BB216" i="1"/>
  <c r="BB224" i="1"/>
  <c r="BB9" i="1"/>
  <c r="BB17" i="1"/>
  <c r="BB25" i="1"/>
  <c r="BB33" i="1"/>
  <c r="BB41" i="1"/>
  <c r="BB49" i="1"/>
  <c r="BB57" i="1"/>
  <c r="BB65" i="1"/>
  <c r="BB73" i="1"/>
  <c r="BB81" i="1"/>
  <c r="BB89" i="1"/>
  <c r="BB97" i="1"/>
  <c r="BB105" i="1"/>
  <c r="BB113" i="1"/>
  <c r="BB121" i="1"/>
  <c r="BB129" i="1"/>
  <c r="BB137" i="1"/>
  <c r="BB145" i="1"/>
  <c r="BB153" i="1"/>
  <c r="BB161" i="1"/>
  <c r="BB169" i="1"/>
  <c r="BB177" i="1"/>
  <c r="BB185" i="1"/>
  <c r="BB193" i="1"/>
  <c r="BB201" i="1"/>
  <c r="BB209" i="1"/>
  <c r="BB217" i="1"/>
  <c r="BB225" i="1"/>
  <c r="BB10" i="1"/>
  <c r="BB18" i="1"/>
  <c r="BB26" i="1"/>
  <c r="BB34" i="1"/>
  <c r="BB42" i="1"/>
  <c r="BB50" i="1"/>
  <c r="BB58" i="1"/>
  <c r="BB66" i="1"/>
  <c r="BB74" i="1"/>
  <c r="BB82" i="1"/>
  <c r="BB90" i="1"/>
  <c r="BB98" i="1"/>
  <c r="BB106" i="1"/>
  <c r="BB114" i="1"/>
  <c r="BB122" i="1"/>
  <c r="BB130" i="1"/>
  <c r="BB138" i="1"/>
  <c r="BB146" i="1"/>
  <c r="BB154" i="1"/>
  <c r="BB162" i="1"/>
  <c r="BB170" i="1"/>
  <c r="BB178" i="1"/>
  <c r="BB186" i="1"/>
  <c r="BB194" i="1"/>
  <c r="BB202" i="1"/>
  <c r="BB210" i="1"/>
  <c r="BB218" i="1"/>
  <c r="BB226" i="1"/>
  <c r="BB3" i="1"/>
  <c r="BB11" i="1"/>
  <c r="BB19" i="1"/>
  <c r="BB27" i="1"/>
  <c r="BB35" i="1"/>
  <c r="BB43" i="1"/>
  <c r="BB51" i="1"/>
  <c r="BB59" i="1"/>
  <c r="BB67" i="1"/>
  <c r="BB75" i="1"/>
  <c r="BB83" i="1"/>
  <c r="BB91" i="1"/>
  <c r="BB99" i="1"/>
  <c r="BB107" i="1"/>
  <c r="BB115" i="1"/>
  <c r="BB123" i="1"/>
  <c r="BB131" i="1"/>
  <c r="BB139" i="1"/>
  <c r="BB147" i="1"/>
  <c r="BB155" i="1"/>
  <c r="BB163" i="1"/>
  <c r="BB171" i="1"/>
  <c r="BB179" i="1"/>
  <c r="BB187" i="1"/>
  <c r="BB195" i="1"/>
  <c r="BB203" i="1"/>
  <c r="BB211" i="1"/>
  <c r="BB219" i="1"/>
  <c r="BB227" i="1"/>
  <c r="BB4" i="1"/>
  <c r="BB12" i="1"/>
  <c r="BB20" i="1"/>
  <c r="BB28" i="1"/>
  <c r="BB36" i="1"/>
  <c r="BB44" i="1"/>
  <c r="BB52" i="1"/>
  <c r="BB60" i="1"/>
  <c r="BB68" i="1"/>
  <c r="BB76" i="1"/>
  <c r="BB84" i="1"/>
  <c r="BB92" i="1"/>
  <c r="BB100" i="1"/>
  <c r="BB108" i="1"/>
  <c r="BB116" i="1"/>
  <c r="BB124" i="1"/>
  <c r="BB132" i="1"/>
  <c r="BB140" i="1"/>
  <c r="BB148" i="1"/>
  <c r="BB156" i="1"/>
  <c r="BB164" i="1"/>
  <c r="BB172" i="1"/>
  <c r="BB180" i="1"/>
  <c r="BB188" i="1"/>
  <c r="BB196" i="1"/>
  <c r="BB204" i="1"/>
  <c r="BB212" i="1"/>
  <c r="BB220" i="1"/>
  <c r="BB228" i="1"/>
  <c r="BB5" i="1"/>
  <c r="BB13" i="1"/>
  <c r="BB21" i="1"/>
  <c r="BB29" i="1"/>
  <c r="BB37" i="1"/>
  <c r="BB45" i="1"/>
  <c r="BB53" i="1"/>
  <c r="BB61" i="1"/>
  <c r="BB69" i="1"/>
  <c r="BB77" i="1"/>
  <c r="BB85" i="1"/>
  <c r="BB93" i="1"/>
  <c r="BB101" i="1"/>
  <c r="BB109" i="1"/>
  <c r="BB117" i="1"/>
  <c r="BB125" i="1"/>
  <c r="BB133" i="1"/>
  <c r="BB141" i="1"/>
  <c r="BB149" i="1"/>
  <c r="BB157" i="1"/>
  <c r="BB165" i="1"/>
  <c r="BB173" i="1"/>
  <c r="BB181" i="1"/>
  <c r="BB189" i="1"/>
  <c r="BB197" i="1"/>
  <c r="BB205" i="1"/>
  <c r="BB213" i="1"/>
  <c r="BB221" i="1"/>
  <c r="BB229" i="1"/>
  <c r="BB6" i="1"/>
  <c r="BB14" i="1"/>
  <c r="BB22" i="1"/>
  <c r="BB30" i="1"/>
  <c r="BB38" i="1"/>
  <c r="BB46" i="1"/>
  <c r="BB54" i="1"/>
  <c r="BB62" i="1"/>
  <c r="BB70" i="1"/>
  <c r="BB78" i="1"/>
  <c r="BB86" i="1"/>
  <c r="BB94" i="1"/>
  <c r="BB102" i="1"/>
  <c r="BB110" i="1"/>
  <c r="BB118" i="1"/>
  <c r="BB126" i="1"/>
  <c r="BB134" i="1"/>
  <c r="BB142" i="1"/>
  <c r="BB150" i="1"/>
  <c r="BB158" i="1"/>
  <c r="BB166" i="1"/>
  <c r="BB174" i="1"/>
  <c r="BB182" i="1"/>
  <c r="BB190" i="1"/>
  <c r="BB198" i="1"/>
  <c r="BB206" i="1"/>
  <c r="BB214" i="1"/>
  <c r="BB222" i="1"/>
  <c r="BB230" i="1"/>
  <c r="N34" i="1"/>
  <c r="D212" i="1"/>
  <c r="D42" i="1"/>
  <c r="D168" i="1"/>
  <c r="D23" i="1"/>
  <c r="R151" i="1"/>
  <c r="N159" i="1"/>
  <c r="D207" i="1"/>
  <c r="D104" i="1"/>
  <c r="D120" i="1"/>
  <c r="AR168" i="1"/>
  <c r="R176" i="1"/>
  <c r="D192" i="1"/>
  <c r="R208" i="1"/>
  <c r="H216" i="1"/>
  <c r="D127" i="1"/>
  <c r="R57" i="1"/>
  <c r="AR121" i="1"/>
  <c r="D137" i="1"/>
  <c r="R169" i="1"/>
  <c r="D209" i="1"/>
  <c r="D217" i="1"/>
  <c r="P26" i="1"/>
  <c r="H42" i="1"/>
  <c r="D170" i="1"/>
  <c r="P218" i="1"/>
  <c r="AR226" i="1"/>
  <c r="D202" i="1"/>
  <c r="H19" i="1"/>
  <c r="D35" i="1"/>
  <c r="D43" i="1"/>
  <c r="R115" i="1"/>
  <c r="AR123" i="1"/>
  <c r="H139" i="1"/>
  <c r="H155" i="1"/>
  <c r="H195" i="1"/>
  <c r="N203" i="1"/>
  <c r="D139" i="1"/>
  <c r="H220" i="1"/>
  <c r="H190" i="1"/>
  <c r="D114" i="1"/>
  <c r="H111" i="1"/>
  <c r="H127" i="1"/>
  <c r="N151" i="1"/>
  <c r="H207" i="1"/>
  <c r="H215" i="1"/>
  <c r="P168" i="1"/>
  <c r="H176" i="1"/>
  <c r="N208" i="1"/>
  <c r="D216" i="1"/>
  <c r="AR41" i="1"/>
  <c r="N57" i="1"/>
  <c r="P121" i="1"/>
  <c r="AR161" i="1"/>
  <c r="N169" i="1"/>
  <c r="D46" i="1"/>
  <c r="D58" i="1"/>
  <c r="R114" i="1"/>
  <c r="H170" i="1"/>
  <c r="AR202" i="1"/>
  <c r="AR218" i="1"/>
  <c r="P226" i="1"/>
  <c r="AR115" i="1"/>
  <c r="P123" i="1"/>
  <c r="D155" i="1"/>
  <c r="D171" i="1"/>
  <c r="AR187" i="1"/>
  <c r="P195" i="1"/>
  <c r="AR203" i="1"/>
  <c r="D211" i="1"/>
  <c r="D187" i="1"/>
  <c r="H228" i="1"/>
  <c r="D226" i="1"/>
  <c r="R23" i="1"/>
  <c r="N127" i="1"/>
  <c r="H151" i="1"/>
  <c r="D215" i="1"/>
  <c r="D117" i="1"/>
  <c r="R104" i="1"/>
  <c r="AR120" i="1"/>
  <c r="R168" i="1"/>
  <c r="N176" i="1"/>
  <c r="P192" i="1"/>
  <c r="P216" i="1"/>
  <c r="H38" i="1"/>
  <c r="P41" i="1"/>
  <c r="R153" i="1"/>
  <c r="P161" i="1"/>
  <c r="P169" i="1"/>
  <c r="AR201" i="1"/>
  <c r="AR209" i="1"/>
  <c r="AR217" i="1"/>
  <c r="D201" i="1"/>
  <c r="D26" i="1"/>
  <c r="H34" i="1"/>
  <c r="AR58" i="1"/>
  <c r="N114" i="1"/>
  <c r="R138" i="1"/>
  <c r="AR170" i="1"/>
  <c r="P202" i="1"/>
  <c r="N218" i="1"/>
  <c r="R226" i="1"/>
  <c r="H55" i="1"/>
  <c r="AR35" i="1"/>
  <c r="AR107" i="1"/>
  <c r="N115" i="1"/>
  <c r="R123" i="1"/>
  <c r="H171" i="1"/>
  <c r="P187" i="1"/>
  <c r="R195" i="1"/>
  <c r="P203" i="1"/>
  <c r="N211" i="1"/>
  <c r="N23" i="1"/>
  <c r="AR39" i="1"/>
  <c r="AR55" i="1"/>
  <c r="R159" i="1"/>
  <c r="R215" i="1"/>
  <c r="H148" i="1"/>
  <c r="N104" i="1"/>
  <c r="N168" i="1"/>
  <c r="D176" i="1"/>
  <c r="D208" i="1"/>
  <c r="R41" i="1"/>
  <c r="H57" i="1"/>
  <c r="N121" i="1"/>
  <c r="R137" i="1"/>
  <c r="N153" i="1"/>
  <c r="P201" i="1"/>
  <c r="P209" i="1"/>
  <c r="H39" i="1"/>
  <c r="H114" i="1"/>
  <c r="N138" i="1"/>
  <c r="R170" i="1"/>
  <c r="R202" i="1"/>
  <c r="N226" i="1"/>
  <c r="N161" i="1"/>
  <c r="AR43" i="1"/>
  <c r="R107" i="1"/>
  <c r="R155" i="1"/>
  <c r="R187" i="1"/>
  <c r="H203" i="1"/>
  <c r="D219" i="1"/>
  <c r="D41" i="1"/>
  <c r="AR23" i="1"/>
  <c r="P39" i="1"/>
  <c r="P55" i="1"/>
  <c r="AR111" i="1"/>
  <c r="H159" i="1"/>
  <c r="N215" i="1"/>
  <c r="AR104" i="1"/>
  <c r="H120" i="1"/>
  <c r="H168" i="1"/>
  <c r="AR192" i="1"/>
  <c r="N41" i="1"/>
  <c r="R121" i="1"/>
  <c r="N137" i="1"/>
  <c r="AR153" i="1"/>
  <c r="R161" i="1"/>
  <c r="D169" i="1"/>
  <c r="R201" i="1"/>
  <c r="N209" i="1"/>
  <c r="H217" i="1"/>
  <c r="H169" i="1"/>
  <c r="H26" i="1"/>
  <c r="AR42" i="1"/>
  <c r="R58" i="1"/>
  <c r="AR138" i="1"/>
  <c r="N170" i="1"/>
  <c r="R218" i="1"/>
  <c r="AR19" i="1"/>
  <c r="H35" i="1"/>
  <c r="R43" i="1"/>
  <c r="H107" i="1"/>
  <c r="P115" i="1"/>
  <c r="AR139" i="1"/>
  <c r="N155" i="1"/>
  <c r="N187" i="1"/>
  <c r="D132" i="1"/>
  <c r="N230" i="1"/>
  <c r="P23" i="1"/>
  <c r="R39" i="1"/>
  <c r="R55" i="1"/>
  <c r="P111" i="1"/>
  <c r="AR127" i="1"/>
  <c r="D159" i="1"/>
  <c r="AR207" i="1"/>
  <c r="P104" i="1"/>
  <c r="P120" i="1"/>
  <c r="N192" i="1"/>
  <c r="AR208" i="1"/>
  <c r="AR216" i="1"/>
  <c r="H41" i="1"/>
  <c r="AR137" i="1"/>
  <c r="P153" i="1"/>
  <c r="H161" i="1"/>
  <c r="P217" i="1"/>
  <c r="N111" i="1"/>
  <c r="R26" i="1"/>
  <c r="AR34" i="1"/>
  <c r="P42" i="1"/>
  <c r="N58" i="1"/>
  <c r="P138" i="1"/>
  <c r="P170" i="1"/>
  <c r="N202" i="1"/>
  <c r="H218" i="1"/>
  <c r="H226" i="1"/>
  <c r="R19" i="1"/>
  <c r="P35" i="1"/>
  <c r="N43" i="1"/>
  <c r="P107" i="1"/>
  <c r="H123" i="1"/>
  <c r="R139" i="1"/>
  <c r="AR171" i="1"/>
  <c r="P171" i="1"/>
  <c r="H187" i="1"/>
  <c r="H164" i="1"/>
  <c r="D181" i="1"/>
  <c r="N39" i="1"/>
  <c r="P127" i="1"/>
  <c r="AR151" i="1"/>
  <c r="AR159" i="1"/>
  <c r="N207" i="1"/>
  <c r="P215" i="1"/>
  <c r="R120" i="1"/>
  <c r="AR176" i="1"/>
  <c r="H208" i="1"/>
  <c r="N216" i="1"/>
  <c r="AR57" i="1"/>
  <c r="H121" i="1"/>
  <c r="P137" i="1"/>
  <c r="H153" i="1"/>
  <c r="D161" i="1"/>
  <c r="N201" i="1"/>
  <c r="R217" i="1"/>
  <c r="N26" i="1"/>
  <c r="R42" i="1"/>
  <c r="P58" i="1"/>
  <c r="AR114" i="1"/>
  <c r="D138" i="1"/>
  <c r="H202" i="1"/>
  <c r="D218" i="1"/>
  <c r="R35" i="1"/>
  <c r="P43" i="1"/>
  <c r="N107" i="1"/>
  <c r="D115" i="1"/>
  <c r="N123" i="1"/>
  <c r="P139" i="1"/>
  <c r="AR155" i="1"/>
  <c r="N171" i="1"/>
  <c r="D195" i="1"/>
  <c r="AR211" i="1"/>
  <c r="P219" i="1"/>
  <c r="R196" i="1"/>
  <c r="D213" i="1"/>
  <c r="H23" i="1"/>
  <c r="D39" i="1"/>
  <c r="N55" i="1"/>
  <c r="R111" i="1"/>
  <c r="R127" i="1"/>
  <c r="P151" i="1"/>
  <c r="P159" i="1"/>
  <c r="R207" i="1"/>
  <c r="AR215" i="1"/>
  <c r="N120" i="1"/>
  <c r="P176" i="1"/>
  <c r="R192" i="1"/>
  <c r="P208" i="1"/>
  <c r="R216" i="1"/>
  <c r="P57" i="1"/>
  <c r="D121" i="1"/>
  <c r="H137" i="1"/>
  <c r="D153" i="1"/>
  <c r="AR169" i="1"/>
  <c r="H201" i="1"/>
  <c r="R209" i="1"/>
  <c r="N217" i="1"/>
  <c r="AR26" i="1"/>
  <c r="R34" i="1"/>
  <c r="N42" i="1"/>
  <c r="P114" i="1"/>
  <c r="H138" i="1"/>
  <c r="D55" i="1"/>
  <c r="N19" i="1"/>
  <c r="N35" i="1"/>
  <c r="H43" i="1"/>
  <c r="H115" i="1"/>
  <c r="D123" i="1"/>
  <c r="N139" i="1"/>
  <c r="P155" i="1"/>
  <c r="R171" i="1"/>
  <c r="AR195" i="1"/>
  <c r="R203" i="1"/>
  <c r="P211" i="1"/>
  <c r="P34" i="1"/>
  <c r="D52" i="1"/>
  <c r="H108" i="1"/>
  <c r="P116" i="1"/>
  <c r="N132" i="1"/>
  <c r="D148" i="1"/>
  <c r="D172" i="1"/>
  <c r="R228" i="1"/>
  <c r="P53" i="1"/>
  <c r="P109" i="1"/>
  <c r="N141" i="1"/>
  <c r="P181" i="1"/>
  <c r="P197" i="1"/>
  <c r="AR213" i="1"/>
  <c r="D19" i="1"/>
  <c r="P38" i="1"/>
  <c r="N54" i="1"/>
  <c r="H110" i="1"/>
  <c r="AR150" i="1"/>
  <c r="R190" i="1"/>
  <c r="D214" i="1"/>
  <c r="R219" i="1"/>
  <c r="AR142" i="1"/>
  <c r="AR52" i="1"/>
  <c r="P108" i="1"/>
  <c r="D116" i="1"/>
  <c r="H132" i="1"/>
  <c r="AR156" i="1"/>
  <c r="N156" i="1"/>
  <c r="D188" i="1"/>
  <c r="N228" i="1"/>
  <c r="H116" i="1"/>
  <c r="R45" i="1"/>
  <c r="AR53" i="1"/>
  <c r="N109" i="1"/>
  <c r="P117" i="1"/>
  <c r="N157" i="1"/>
  <c r="R181" i="1"/>
  <c r="R197" i="1"/>
  <c r="P213" i="1"/>
  <c r="D111" i="1"/>
  <c r="N38" i="1"/>
  <c r="N46" i="1"/>
  <c r="N110" i="1"/>
  <c r="P142" i="1"/>
  <c r="P150" i="1"/>
  <c r="N190" i="1"/>
  <c r="R206" i="1"/>
  <c r="AR214" i="1"/>
  <c r="N219" i="1"/>
  <c r="R108" i="1"/>
  <c r="AR172" i="1"/>
  <c r="H188" i="1"/>
  <c r="H212" i="1"/>
  <c r="H209" i="1"/>
  <c r="N45" i="1"/>
  <c r="N53" i="1"/>
  <c r="H109" i="1"/>
  <c r="N117" i="1"/>
  <c r="D141" i="1"/>
  <c r="D157" i="1"/>
  <c r="N197" i="1"/>
  <c r="R213" i="1"/>
  <c r="D164" i="1"/>
  <c r="R38" i="1"/>
  <c r="P46" i="1"/>
  <c r="H54" i="1"/>
  <c r="D110" i="1"/>
  <c r="N142" i="1"/>
  <c r="R150" i="1"/>
  <c r="P174" i="1"/>
  <c r="N206" i="1"/>
  <c r="R214" i="1"/>
  <c r="R230" i="1"/>
  <c r="D34" i="1"/>
  <c r="H219" i="1"/>
  <c r="D57" i="1"/>
  <c r="H52" i="1"/>
  <c r="N108" i="1"/>
  <c r="AR148" i="1"/>
  <c r="R156" i="1"/>
  <c r="AR164" i="1"/>
  <c r="P196" i="1"/>
  <c r="AR212" i="1"/>
  <c r="AR228" i="1"/>
  <c r="P45" i="1"/>
  <c r="R53" i="1"/>
  <c r="R109" i="1"/>
  <c r="N181" i="1"/>
  <c r="H197" i="1"/>
  <c r="N213" i="1"/>
  <c r="D220" i="1"/>
  <c r="D38" i="1"/>
  <c r="D54" i="1"/>
  <c r="AR110" i="1"/>
  <c r="H150" i="1"/>
  <c r="N174" i="1"/>
  <c r="P190" i="1"/>
  <c r="AR206" i="1"/>
  <c r="N214" i="1"/>
  <c r="H142" i="1"/>
  <c r="N195" i="1"/>
  <c r="D150" i="1"/>
  <c r="P52" i="1"/>
  <c r="D108" i="1"/>
  <c r="P148" i="1"/>
  <c r="P156" i="1"/>
  <c r="P164" i="1"/>
  <c r="H172" i="1"/>
  <c r="R188" i="1"/>
  <c r="AR196" i="1"/>
  <c r="P212" i="1"/>
  <c r="AR220" i="1"/>
  <c r="D228" i="1"/>
  <c r="AR45" i="1"/>
  <c r="D109" i="1"/>
  <c r="AR141" i="1"/>
  <c r="AR157" i="1"/>
  <c r="D197" i="1"/>
  <c r="H213" i="1"/>
  <c r="AR54" i="1"/>
  <c r="P110" i="1"/>
  <c r="R142" i="1"/>
  <c r="N150" i="1"/>
  <c r="AR174" i="1"/>
  <c r="D190" i="1"/>
  <c r="P206" i="1"/>
  <c r="AR230" i="1"/>
  <c r="D203" i="1"/>
  <c r="H58" i="1"/>
  <c r="R52" i="1"/>
  <c r="R116" i="1"/>
  <c r="AR132" i="1"/>
  <c r="R148" i="1"/>
  <c r="H156" i="1"/>
  <c r="P172" i="1"/>
  <c r="N188" i="1"/>
  <c r="N196" i="1"/>
  <c r="R212" i="1"/>
  <c r="P220" i="1"/>
  <c r="H45" i="1"/>
  <c r="H53" i="1"/>
  <c r="H141" i="1"/>
  <c r="H157" i="1"/>
  <c r="H181" i="1"/>
  <c r="H117" i="1"/>
  <c r="AR46" i="1"/>
  <c r="P54" i="1"/>
  <c r="H174" i="1"/>
  <c r="AR190" i="1"/>
  <c r="D206" i="1"/>
  <c r="P214" i="1"/>
  <c r="P230" i="1"/>
  <c r="R211" i="1"/>
  <c r="H192" i="1"/>
  <c r="N52" i="1"/>
  <c r="AR116" i="1"/>
  <c r="P132" i="1"/>
  <c r="N148" i="1"/>
  <c r="R164" i="1"/>
  <c r="R172" i="1"/>
  <c r="AR188" i="1"/>
  <c r="H196" i="1"/>
  <c r="N212" i="1"/>
  <c r="R220" i="1"/>
  <c r="D107" i="1"/>
  <c r="P207" i="1"/>
  <c r="D45" i="1"/>
  <c r="D53" i="1"/>
  <c r="AR117" i="1"/>
  <c r="P141" i="1"/>
  <c r="P157" i="1"/>
  <c r="H211" i="1"/>
  <c r="R46" i="1"/>
  <c r="R54" i="1"/>
  <c r="R110" i="1"/>
  <c r="R174" i="1"/>
  <c r="D230" i="1"/>
  <c r="AR219" i="1"/>
  <c r="AR108" i="1"/>
  <c r="N116" i="1"/>
  <c r="R132" i="1"/>
  <c r="D156" i="1"/>
  <c r="N164" i="1"/>
  <c r="N172" i="1"/>
  <c r="P188" i="1"/>
  <c r="D196" i="1"/>
  <c r="N220" i="1"/>
  <c r="D151" i="1"/>
  <c r="AR109" i="1"/>
  <c r="R117" i="1"/>
  <c r="R141" i="1"/>
  <c r="R157" i="1"/>
  <c r="AR181" i="1"/>
  <c r="AR197" i="1"/>
  <c r="AR38" i="1"/>
  <c r="H46" i="1"/>
  <c r="D142" i="1"/>
  <c r="D174" i="1"/>
  <c r="H206" i="1"/>
  <c r="H214" i="1"/>
  <c r="H230" i="1"/>
  <c r="M203" i="1"/>
  <c r="M150" i="1"/>
  <c r="M108" i="1"/>
  <c r="L211" i="1"/>
  <c r="L176" i="1"/>
  <c r="L132" i="1"/>
  <c r="L41" i="1"/>
  <c r="BA10" i="1"/>
  <c r="BA18" i="1"/>
  <c r="BA26" i="1"/>
  <c r="BA34" i="1"/>
  <c r="BA42" i="1"/>
  <c r="AS42" i="1" s="1"/>
  <c r="BA50" i="1"/>
  <c r="BA58" i="1"/>
  <c r="BA66" i="1"/>
  <c r="BA74" i="1"/>
  <c r="BA82" i="1"/>
  <c r="BA90" i="1"/>
  <c r="BA98" i="1"/>
  <c r="BA106" i="1"/>
  <c r="BA114" i="1"/>
  <c r="BA122" i="1"/>
  <c r="BA130" i="1"/>
  <c r="BA138" i="1"/>
  <c r="AT138" i="1" s="1"/>
  <c r="BA146" i="1"/>
  <c r="BA154" i="1"/>
  <c r="BA162" i="1"/>
  <c r="BA170" i="1"/>
  <c r="BA178" i="1"/>
  <c r="BA186" i="1"/>
  <c r="BA194" i="1"/>
  <c r="BA202" i="1"/>
  <c r="BA210" i="1"/>
  <c r="BA218" i="1"/>
  <c r="BA226" i="1"/>
  <c r="AT226" i="1" s="1"/>
  <c r="BA223" i="1"/>
  <c r="M197" i="1"/>
  <c r="M148" i="1"/>
  <c r="M107" i="1"/>
  <c r="L207" i="1"/>
  <c r="L174" i="1"/>
  <c r="L123" i="1"/>
  <c r="L39" i="1"/>
  <c r="BA3" i="1"/>
  <c r="BA11" i="1"/>
  <c r="BA19" i="1"/>
  <c r="BA27" i="1"/>
  <c r="BA35" i="1"/>
  <c r="BA43" i="1"/>
  <c r="AS43" i="1" s="1"/>
  <c r="BA51" i="1"/>
  <c r="BA59" i="1"/>
  <c r="BA67" i="1"/>
  <c r="BA75" i="1"/>
  <c r="BA83" i="1"/>
  <c r="BA91" i="1"/>
  <c r="BA99" i="1"/>
  <c r="BA107" i="1"/>
  <c r="AT107" i="1" s="1"/>
  <c r="BA115" i="1"/>
  <c r="BA123" i="1"/>
  <c r="AS123" i="1" s="1"/>
  <c r="BA131" i="1"/>
  <c r="BA139" i="1"/>
  <c r="AT139" i="1" s="1"/>
  <c r="BA147" i="1"/>
  <c r="BA155" i="1"/>
  <c r="AT155" i="1" s="1"/>
  <c r="BA163" i="1"/>
  <c r="BA171" i="1"/>
  <c r="BA179" i="1"/>
  <c r="BA187" i="1"/>
  <c r="AT187" i="1" s="1"/>
  <c r="BA195" i="1"/>
  <c r="BA203" i="1"/>
  <c r="AS203" i="1" s="1"/>
  <c r="BA211" i="1"/>
  <c r="AT211" i="1" s="1"/>
  <c r="M196" i="1"/>
  <c r="M139" i="1"/>
  <c r="M45" i="1"/>
  <c r="L206" i="1"/>
  <c r="L153" i="1"/>
  <c r="L109" i="1"/>
  <c r="L38" i="1"/>
  <c r="BA4" i="1"/>
  <c r="BA12" i="1"/>
  <c r="BA20" i="1"/>
  <c r="BA28" i="1"/>
  <c r="BA36" i="1"/>
  <c r="BA44" i="1"/>
  <c r="BA52" i="1"/>
  <c r="BA60" i="1"/>
  <c r="BA68" i="1"/>
  <c r="BA76" i="1"/>
  <c r="BA84" i="1"/>
  <c r="BA92" i="1"/>
  <c r="BA100" i="1"/>
  <c r="BA108" i="1"/>
  <c r="AS108" i="1" s="1"/>
  <c r="BA116" i="1"/>
  <c r="BA124" i="1"/>
  <c r="BA132" i="1"/>
  <c r="AS132" i="1" s="1"/>
  <c r="BA140" i="1"/>
  <c r="BA148" i="1"/>
  <c r="AS148" i="1" s="1"/>
  <c r="BA156" i="1"/>
  <c r="BA164" i="1"/>
  <c r="BA172" i="1"/>
  <c r="BA180" i="1"/>
  <c r="BA188" i="1"/>
  <c r="AT188" i="1" s="1"/>
  <c r="BA196" i="1"/>
  <c r="AT196" i="1" s="1"/>
  <c r="BA204" i="1"/>
  <c r="BA212" i="1"/>
  <c r="BA220" i="1"/>
  <c r="BA228" i="1"/>
  <c r="AT228" i="1" s="1"/>
  <c r="BA221" i="1"/>
  <c r="M188" i="1"/>
  <c r="M138" i="1"/>
  <c r="M43" i="1"/>
  <c r="L203" i="1"/>
  <c r="L150" i="1"/>
  <c r="L108" i="1"/>
  <c r="BA5" i="1"/>
  <c r="BA13" i="1"/>
  <c r="BA21" i="1"/>
  <c r="BA29" i="1"/>
  <c r="BA37" i="1"/>
  <c r="BA45" i="1"/>
  <c r="AS45" i="1" s="1"/>
  <c r="BA53" i="1"/>
  <c r="BA61" i="1"/>
  <c r="BA69" i="1"/>
  <c r="BA77" i="1"/>
  <c r="BA85" i="1"/>
  <c r="BA93" i="1"/>
  <c r="BA101" i="1"/>
  <c r="BA109" i="1"/>
  <c r="AS109" i="1" s="1"/>
  <c r="BA117" i="1"/>
  <c r="BA125" i="1"/>
  <c r="BA133" i="1"/>
  <c r="BA141" i="1"/>
  <c r="AS141" i="1" s="1"/>
  <c r="BA149" i="1"/>
  <c r="BA157" i="1"/>
  <c r="AT157" i="1" s="1"/>
  <c r="BA165" i="1"/>
  <c r="BA173" i="1"/>
  <c r="BA181" i="1"/>
  <c r="BA189" i="1"/>
  <c r="BA197" i="1"/>
  <c r="AS197" i="1" s="1"/>
  <c r="BA205" i="1"/>
  <c r="BA213" i="1"/>
  <c r="BA229" i="1"/>
  <c r="M187" i="1"/>
  <c r="M137" i="1"/>
  <c r="M42" i="1"/>
  <c r="L197" i="1"/>
  <c r="L148" i="1"/>
  <c r="L107" i="1"/>
  <c r="BA6" i="1"/>
  <c r="BA14" i="1"/>
  <c r="BA22" i="1"/>
  <c r="BA30" i="1"/>
  <c r="BA38" i="1"/>
  <c r="AS38" i="1" s="1"/>
  <c r="BA46" i="1"/>
  <c r="BA54" i="1"/>
  <c r="BA62" i="1"/>
  <c r="BA70" i="1"/>
  <c r="BA78" i="1"/>
  <c r="BA86" i="1"/>
  <c r="BA94" i="1"/>
  <c r="BA102" i="1"/>
  <c r="BA110" i="1"/>
  <c r="BA118" i="1"/>
  <c r="BA126" i="1"/>
  <c r="BA134" i="1"/>
  <c r="BA142" i="1"/>
  <c r="AS142" i="1" s="1"/>
  <c r="BA150" i="1"/>
  <c r="AS150" i="1" s="1"/>
  <c r="BA158" i="1"/>
  <c r="BA166" i="1"/>
  <c r="BA174" i="1"/>
  <c r="AT174" i="1" s="1"/>
  <c r="BA182" i="1"/>
  <c r="BA190" i="1"/>
  <c r="AT190" i="1" s="1"/>
  <c r="BA198" i="1"/>
  <c r="BA206" i="1"/>
  <c r="AT206" i="1" s="1"/>
  <c r="BA214" i="1"/>
  <c r="BA222" i="1"/>
  <c r="BA230" i="1"/>
  <c r="AS230" i="1" s="1"/>
  <c r="M211" i="1"/>
  <c r="M176" i="1"/>
  <c r="M132" i="1"/>
  <c r="M41" i="1"/>
  <c r="L196" i="1"/>
  <c r="L139" i="1"/>
  <c r="L45" i="1"/>
  <c r="BA7" i="1"/>
  <c r="BA15" i="1"/>
  <c r="BA23" i="1"/>
  <c r="BA31" i="1"/>
  <c r="BA39" i="1"/>
  <c r="AT39" i="1" s="1"/>
  <c r="BA47" i="1"/>
  <c r="BA55" i="1"/>
  <c r="BA63" i="1"/>
  <c r="BA71" i="1"/>
  <c r="BA79" i="1"/>
  <c r="BA87" i="1"/>
  <c r="BA95" i="1"/>
  <c r="BA103" i="1"/>
  <c r="BA111" i="1"/>
  <c r="BA119" i="1"/>
  <c r="BA127" i="1"/>
  <c r="BA135" i="1"/>
  <c r="BA143" i="1"/>
  <c r="BA151" i="1"/>
  <c r="BA159" i="1"/>
  <c r="BA167" i="1"/>
  <c r="BA175" i="1"/>
  <c r="BA183" i="1"/>
  <c r="BA191" i="1"/>
  <c r="BA199" i="1"/>
  <c r="BA207" i="1"/>
  <c r="AS207" i="1" s="1"/>
  <c r="BA215" i="1"/>
  <c r="AS215" i="1" s="1"/>
  <c r="M207" i="1"/>
  <c r="M174" i="1"/>
  <c r="M123" i="1"/>
  <c r="M39" i="1"/>
  <c r="L188" i="1"/>
  <c r="L138" i="1"/>
  <c r="L43" i="1"/>
  <c r="BA8" i="1"/>
  <c r="BA16" i="1"/>
  <c r="BA24" i="1"/>
  <c r="BA32" i="1"/>
  <c r="BA40" i="1"/>
  <c r="BA48" i="1"/>
  <c r="BA56" i="1"/>
  <c r="BA64" i="1"/>
  <c r="BA72" i="1"/>
  <c r="BA80" i="1"/>
  <c r="BA88" i="1"/>
  <c r="BA96" i="1"/>
  <c r="BA104" i="1"/>
  <c r="BA112" i="1"/>
  <c r="BA120" i="1"/>
  <c r="BA128" i="1"/>
  <c r="BA136" i="1"/>
  <c r="BA144" i="1"/>
  <c r="BA152" i="1"/>
  <c r="BA160" i="1"/>
  <c r="BA168" i="1"/>
  <c r="AS168" i="1" s="1"/>
  <c r="BA176" i="1"/>
  <c r="AS176" i="1" s="1"/>
  <c r="BA184" i="1"/>
  <c r="BA192" i="1"/>
  <c r="BA200" i="1"/>
  <c r="BA208" i="1"/>
  <c r="BA216" i="1"/>
  <c r="BA224" i="1"/>
  <c r="BA219" i="1"/>
  <c r="M206" i="1"/>
  <c r="M153" i="1"/>
  <c r="M109" i="1"/>
  <c r="M38" i="1"/>
  <c r="L187" i="1"/>
  <c r="L137" i="1"/>
  <c r="L42" i="1"/>
  <c r="BA9" i="1"/>
  <c r="BA17" i="1"/>
  <c r="BA25" i="1"/>
  <c r="BA33" i="1"/>
  <c r="BA41" i="1"/>
  <c r="AT41" i="1" s="1"/>
  <c r="BA49" i="1"/>
  <c r="BA57" i="1"/>
  <c r="BA65" i="1"/>
  <c r="BA73" i="1"/>
  <c r="BA81" i="1"/>
  <c r="BA89" i="1"/>
  <c r="BA97" i="1"/>
  <c r="BA105" i="1"/>
  <c r="BA113" i="1"/>
  <c r="BA121" i="1"/>
  <c r="BA129" i="1"/>
  <c r="BA137" i="1"/>
  <c r="AT137" i="1" s="1"/>
  <c r="BA145" i="1"/>
  <c r="BA153" i="1"/>
  <c r="AT153" i="1" s="1"/>
  <c r="BA161" i="1"/>
  <c r="AS161" i="1" s="1"/>
  <c r="BA169" i="1"/>
  <c r="BA177" i="1"/>
  <c r="BA185" i="1"/>
  <c r="BA193" i="1"/>
  <c r="BA201" i="1"/>
  <c r="BA209" i="1"/>
  <c r="AS209" i="1" s="1"/>
  <c r="BA217" i="1"/>
  <c r="BA225" i="1"/>
  <c r="BA227" i="1"/>
  <c r="M46" i="1"/>
  <c r="M47" i="1"/>
  <c r="L55" i="1"/>
  <c r="L95" i="1"/>
  <c r="L111" i="1"/>
  <c r="M127" i="1"/>
  <c r="L183" i="1"/>
  <c r="L215" i="1"/>
  <c r="L16" i="1"/>
  <c r="M96" i="1"/>
  <c r="L25" i="1"/>
  <c r="M81" i="1"/>
  <c r="L129" i="1"/>
  <c r="L193" i="1"/>
  <c r="L58" i="1"/>
  <c r="L90" i="1"/>
  <c r="M114" i="1"/>
  <c r="L130" i="1"/>
  <c r="M154" i="1"/>
  <c r="L194" i="1"/>
  <c r="L99" i="1"/>
  <c r="M131" i="1"/>
  <c r="M168" i="1"/>
  <c r="M23" i="1"/>
  <c r="L47" i="1"/>
  <c r="L63" i="1"/>
  <c r="M103" i="1"/>
  <c r="M159" i="1"/>
  <c r="M191" i="1"/>
  <c r="L24" i="1"/>
  <c r="L96" i="1"/>
  <c r="M120" i="1"/>
  <c r="L192" i="1"/>
  <c r="L81" i="1"/>
  <c r="M129" i="1"/>
  <c r="M193" i="1"/>
  <c r="L201" i="1"/>
  <c r="L217" i="1"/>
  <c r="M10" i="1"/>
  <c r="M26" i="1"/>
  <c r="L34" i="1"/>
  <c r="L50" i="1"/>
  <c r="L98" i="1"/>
  <c r="L154" i="1"/>
  <c r="M19" i="1"/>
  <c r="M51" i="1"/>
  <c r="L219" i="1"/>
  <c r="M198" i="1"/>
  <c r="L168" i="1"/>
  <c r="M63" i="1"/>
  <c r="L103" i="1"/>
  <c r="L119" i="1"/>
  <c r="L159" i="1"/>
  <c r="L191" i="1"/>
  <c r="M24" i="1"/>
  <c r="M128" i="1"/>
  <c r="M208" i="1"/>
  <c r="M57" i="1"/>
  <c r="L89" i="1"/>
  <c r="M121" i="1"/>
  <c r="L18" i="1"/>
  <c r="M50" i="1"/>
  <c r="M98" i="1"/>
  <c r="L170" i="1"/>
  <c r="M3" i="1"/>
  <c r="L35" i="1"/>
  <c r="L51" i="1"/>
  <c r="L131" i="1"/>
  <c r="M163" i="1"/>
  <c r="M28" i="1"/>
  <c r="M69" i="1"/>
  <c r="M20" i="1"/>
  <c r="L79" i="1"/>
  <c r="M119" i="1"/>
  <c r="L127" i="1"/>
  <c r="M151" i="1"/>
  <c r="L199" i="1"/>
  <c r="M48" i="1"/>
  <c r="L120" i="1"/>
  <c r="L152" i="1"/>
  <c r="M224" i="1"/>
  <c r="L88" i="1"/>
  <c r="M89" i="1"/>
  <c r="L161" i="1"/>
  <c r="M217" i="1"/>
  <c r="M18" i="1"/>
  <c r="L26" i="1"/>
  <c r="M66" i="1"/>
  <c r="L106" i="1"/>
  <c r="M178" i="1"/>
  <c r="L3" i="1"/>
  <c r="M35" i="1"/>
  <c r="L83" i="1"/>
  <c r="L115" i="1"/>
  <c r="L163" i="1"/>
  <c r="M171" i="1"/>
  <c r="M195" i="1"/>
  <c r="L100" i="1"/>
  <c r="L117" i="1"/>
  <c r="M79" i="1"/>
  <c r="L135" i="1"/>
  <c r="L151" i="1"/>
  <c r="L76" i="1"/>
  <c r="L48" i="1"/>
  <c r="M152" i="1"/>
  <c r="L208" i="1"/>
  <c r="L224" i="1"/>
  <c r="L57" i="1"/>
  <c r="L97" i="1"/>
  <c r="L66" i="1"/>
  <c r="M106" i="1"/>
  <c r="L114" i="1"/>
  <c r="L178" i="1"/>
  <c r="M202" i="1"/>
  <c r="M226" i="1"/>
  <c r="M83" i="1"/>
  <c r="L171" i="1"/>
  <c r="L125" i="1"/>
  <c r="M161" i="1"/>
  <c r="M87" i="1"/>
  <c r="M135" i="1"/>
  <c r="M215" i="1"/>
  <c r="L202" i="1"/>
  <c r="M80" i="1"/>
  <c r="L160" i="1"/>
  <c r="L105" i="1"/>
  <c r="L121" i="1"/>
  <c r="M177" i="1"/>
  <c r="M201" i="1"/>
  <c r="M209" i="1"/>
  <c r="M82" i="1"/>
  <c r="M122" i="1"/>
  <c r="L186" i="1"/>
  <c r="M91" i="1"/>
  <c r="M115" i="1"/>
  <c r="M155" i="1"/>
  <c r="L195" i="1"/>
  <c r="L185" i="1"/>
  <c r="M230" i="1"/>
  <c r="L23" i="1"/>
  <c r="M55" i="1"/>
  <c r="L87" i="1"/>
  <c r="M111" i="1"/>
  <c r="M167" i="1"/>
  <c r="L80" i="1"/>
  <c r="M104" i="1"/>
  <c r="M160" i="1"/>
  <c r="M192" i="1"/>
  <c r="M65" i="1"/>
  <c r="M105" i="1"/>
  <c r="L177" i="1"/>
  <c r="L209" i="1"/>
  <c r="M34" i="1"/>
  <c r="L82" i="1"/>
  <c r="L122" i="1"/>
  <c r="M170" i="1"/>
  <c r="M186" i="1"/>
  <c r="L226" i="1"/>
  <c r="L19" i="1"/>
  <c r="L91" i="1"/>
  <c r="M179" i="1"/>
  <c r="L230" i="1"/>
  <c r="M95" i="1"/>
  <c r="M183" i="1"/>
  <c r="M16" i="1"/>
  <c r="M88" i="1"/>
  <c r="L104" i="1"/>
  <c r="M25" i="1"/>
  <c r="L65" i="1"/>
  <c r="M185" i="1"/>
  <c r="M58" i="1"/>
  <c r="M90" i="1"/>
  <c r="M130" i="1"/>
  <c r="M194" i="1"/>
  <c r="M99" i="1"/>
  <c r="L179" i="1"/>
  <c r="M219" i="1"/>
  <c r="L20" i="1"/>
  <c r="L156" i="1"/>
  <c r="L164" i="1"/>
  <c r="M204" i="1"/>
  <c r="L212" i="1"/>
  <c r="M37" i="1"/>
  <c r="M77" i="1"/>
  <c r="M117" i="1"/>
  <c r="L157" i="1"/>
  <c r="L167" i="1"/>
  <c r="L46" i="1"/>
  <c r="L102" i="1"/>
  <c r="L134" i="1"/>
  <c r="M166" i="1"/>
  <c r="L198" i="1"/>
  <c r="M76" i="1"/>
  <c r="M172" i="1"/>
  <c r="L204" i="1"/>
  <c r="M212" i="1"/>
  <c r="L5" i="1"/>
  <c r="L77" i="1"/>
  <c r="M141" i="1"/>
  <c r="M125" i="1"/>
  <c r="M54" i="1"/>
  <c r="M102" i="1"/>
  <c r="M52" i="1"/>
  <c r="M84" i="1"/>
  <c r="M124" i="1"/>
  <c r="M156" i="1"/>
  <c r="L180" i="1"/>
  <c r="L228" i="1"/>
  <c r="M5" i="1"/>
  <c r="L93" i="1"/>
  <c r="M181" i="1"/>
  <c r="M190" i="1"/>
  <c r="L84" i="1"/>
  <c r="L124" i="1"/>
  <c r="L172" i="1"/>
  <c r="M180" i="1"/>
  <c r="L10" i="1"/>
  <c r="M21" i="1"/>
  <c r="M93" i="1"/>
  <c r="L141" i="1"/>
  <c r="M157" i="1"/>
  <c r="M118" i="1"/>
  <c r="M142" i="1"/>
  <c r="M92" i="1"/>
  <c r="L155" i="1"/>
  <c r="L21" i="1"/>
  <c r="L53" i="1"/>
  <c r="M101" i="1"/>
  <c r="L181" i="1"/>
  <c r="L62" i="1"/>
  <c r="L118" i="1"/>
  <c r="L214" i="1"/>
  <c r="L52" i="1"/>
  <c r="L227" i="1"/>
  <c r="L92" i="1"/>
  <c r="M164" i="1"/>
  <c r="M228" i="1"/>
  <c r="M97" i="1"/>
  <c r="L29" i="1"/>
  <c r="L101" i="1"/>
  <c r="M165" i="1"/>
  <c r="L30" i="1"/>
  <c r="M62" i="1"/>
  <c r="M110" i="1"/>
  <c r="M126" i="1"/>
  <c r="L142" i="1"/>
  <c r="M158" i="1"/>
  <c r="M227" i="1"/>
  <c r="M100" i="1"/>
  <c r="M29" i="1"/>
  <c r="L165" i="1"/>
  <c r="L205" i="1"/>
  <c r="L221" i="1"/>
  <c r="M30" i="1"/>
  <c r="L78" i="1"/>
  <c r="L126" i="1"/>
  <c r="L158" i="1"/>
  <c r="L190" i="1"/>
  <c r="M214" i="1"/>
  <c r="L128" i="1"/>
  <c r="L37" i="1"/>
  <c r="M53" i="1"/>
  <c r="L69" i="1"/>
  <c r="M205" i="1"/>
  <c r="M221" i="1"/>
  <c r="L28" i="1"/>
  <c r="L54" i="1"/>
  <c r="M78" i="1"/>
  <c r="L110" i="1"/>
  <c r="M134" i="1"/>
  <c r="L166" i="1"/>
  <c r="T2" i="8"/>
  <c r="T3723" i="8"/>
  <c r="T4149" i="8"/>
  <c r="AS139" i="1"/>
  <c r="AS211" i="1"/>
  <c r="AS69" i="1"/>
  <c r="AT50" i="1"/>
  <c r="AS93" i="1"/>
  <c r="AT74" i="1"/>
  <c r="AS105" i="1"/>
  <c r="AT76" i="1"/>
  <c r="AT8" i="1"/>
  <c r="AT48" i="1"/>
  <c r="AS125" i="1"/>
  <c r="AS33" i="1"/>
  <c r="AT87" i="1"/>
  <c r="AT189" i="1"/>
  <c r="AT62" i="1"/>
  <c r="AS31" i="1"/>
  <c r="AS65" i="1"/>
  <c r="AS79" i="1"/>
  <c r="AT77" i="1"/>
  <c r="AS88" i="1"/>
  <c r="AS66" i="1"/>
  <c r="AS97" i="1"/>
  <c r="AT59" i="1"/>
  <c r="AT106" i="1"/>
  <c r="AS96" i="1"/>
  <c r="AS30" i="1"/>
  <c r="AT178" i="1"/>
  <c r="AT68" i="1"/>
  <c r="AT162" i="1"/>
  <c r="AS191" i="1"/>
  <c r="AS25" i="1"/>
  <c r="AT24" i="1"/>
  <c r="AT7" i="1"/>
  <c r="AT216" i="1"/>
  <c r="AT6" i="1"/>
  <c r="AT136" i="1"/>
  <c r="AS169" i="1"/>
  <c r="AS11" i="1"/>
  <c r="AT133" i="1"/>
  <c r="AT149" i="1"/>
  <c r="AS134" i="1"/>
  <c r="AT25" i="1"/>
  <c r="AS44" i="1"/>
  <c r="AS89" i="1"/>
  <c r="AT131" i="1"/>
  <c r="AT85" i="1"/>
  <c r="AS140" i="1"/>
  <c r="AS68" i="1"/>
  <c r="AT229" i="1"/>
  <c r="AS47" i="1"/>
  <c r="AT94" i="1"/>
  <c r="AT32" i="1"/>
  <c r="AT125" i="1"/>
  <c r="AT69" i="1"/>
  <c r="AS146" i="1"/>
  <c r="AS221" i="1"/>
  <c r="AT205" i="1"/>
  <c r="AT61" i="1"/>
  <c r="AS182" i="1"/>
  <c r="AT163" i="1"/>
  <c r="AS131" i="1"/>
  <c r="AT20" i="1"/>
  <c r="AS175" i="1"/>
  <c r="AT194" i="1"/>
  <c r="AS40" i="1"/>
  <c r="AT73" i="1"/>
  <c r="AS94" i="1"/>
  <c r="AS6" i="1"/>
  <c r="AT100" i="1"/>
  <c r="AT186" i="1"/>
  <c r="AT79" i="1"/>
  <c r="AS189" i="1"/>
  <c r="AT49" i="1"/>
  <c r="AS154" i="1"/>
  <c r="AS216" i="1"/>
  <c r="AS61" i="1"/>
  <c r="AT47" i="1"/>
  <c r="AS128" i="1"/>
  <c r="AS225" i="1"/>
  <c r="AS51" i="1"/>
  <c r="AT140" i="1"/>
  <c r="AS136" i="1"/>
  <c r="AT158" i="1"/>
  <c r="AT98" i="1"/>
  <c r="AS178" i="1"/>
  <c r="AS15" i="1"/>
  <c r="AS185" i="1"/>
  <c r="AS37" i="1"/>
  <c r="AS118" i="1"/>
  <c r="AT220" i="1"/>
  <c r="AS18" i="1"/>
  <c r="AS73" i="1"/>
  <c r="AT95" i="1"/>
  <c r="AS87" i="1"/>
  <c r="AT37" i="1"/>
  <c r="AT179" i="1"/>
  <c r="AS103" i="1"/>
  <c r="AS56" i="1"/>
  <c r="AS36" i="1"/>
  <c r="AS113" i="1"/>
  <c r="AT198" i="1"/>
  <c r="AS90" i="1"/>
  <c r="AT113" i="1"/>
  <c r="AS124" i="1"/>
  <c r="AT40" i="1"/>
  <c r="AS165" i="1"/>
  <c r="AT31" i="1"/>
  <c r="AT60" i="1"/>
  <c r="AS80" i="1"/>
  <c r="AT175" i="1"/>
  <c r="AT64" i="1"/>
  <c r="AT12" i="1"/>
  <c r="AS4" i="1"/>
  <c r="AT118" i="1"/>
  <c r="AT80" i="1"/>
  <c r="AS163" i="1"/>
  <c r="AT11" i="1"/>
  <c r="AT130" i="1"/>
  <c r="AT22" i="1"/>
  <c r="AT119" i="1"/>
  <c r="AS199" i="1"/>
  <c r="AS81" i="1"/>
  <c r="AT145" i="1"/>
  <c r="AS71" i="1"/>
  <c r="AS95" i="1"/>
  <c r="AT223" i="1"/>
  <c r="AS78" i="1"/>
  <c r="AT93" i="1"/>
  <c r="AS91" i="1"/>
  <c r="AT96" i="1"/>
  <c r="AT67" i="1"/>
  <c r="AS180" i="1"/>
  <c r="AS213" i="1"/>
  <c r="AT126" i="1"/>
  <c r="AS167" i="1"/>
  <c r="AT200" i="1"/>
  <c r="AT84" i="1"/>
  <c r="AT182" i="1"/>
  <c r="AT199" i="1"/>
  <c r="AT56" i="1"/>
  <c r="AS86" i="1"/>
  <c r="AS21" i="1"/>
  <c r="AS60" i="1"/>
  <c r="AS145" i="1"/>
  <c r="AT90" i="1"/>
  <c r="AS129" i="1"/>
  <c r="AT221" i="1"/>
  <c r="AT75" i="1"/>
  <c r="AS20" i="1"/>
  <c r="AT101" i="1"/>
  <c r="AS130" i="1"/>
  <c r="AT4" i="1"/>
  <c r="AS29" i="1"/>
  <c r="AS5" i="1"/>
  <c r="AT185" i="1"/>
  <c r="AT180" i="1"/>
  <c r="AT213" i="1"/>
  <c r="AT21" i="1"/>
  <c r="AT97" i="1"/>
  <c r="AT103" i="1"/>
  <c r="AT13" i="1"/>
  <c r="AT30" i="1"/>
  <c r="AS64" i="1"/>
  <c r="AT218" i="1"/>
  <c r="AT83" i="1"/>
  <c r="AS224" i="1"/>
  <c r="AS84" i="1"/>
  <c r="AS144" i="1"/>
  <c r="AS229" i="1"/>
  <c r="AT99" i="1"/>
  <c r="AS9" i="1"/>
  <c r="AS32" i="1"/>
  <c r="AS12" i="1"/>
  <c r="AT9" i="1"/>
  <c r="AS160" i="1"/>
  <c r="AS8" i="1"/>
  <c r="AT128" i="1"/>
  <c r="AS28" i="1"/>
  <c r="AS10" i="1"/>
  <c r="AS62" i="1"/>
  <c r="AS76" i="1"/>
  <c r="AT92" i="1"/>
  <c r="AS63" i="1"/>
  <c r="AS27" i="1"/>
  <c r="AS77" i="1"/>
  <c r="AT102" i="1"/>
  <c r="AS227" i="1"/>
  <c r="AT82" i="1"/>
  <c r="AS143" i="1"/>
  <c r="AS194" i="1"/>
  <c r="AS85" i="1"/>
  <c r="AT166" i="1"/>
  <c r="AS158" i="1"/>
  <c r="AT154" i="1"/>
  <c r="AT36" i="1"/>
  <c r="AT27" i="1"/>
  <c r="AT3" i="1"/>
  <c r="AS67" i="1"/>
  <c r="AS149" i="1"/>
  <c r="AT15" i="1"/>
  <c r="AS173" i="1"/>
  <c r="AT222" i="1"/>
  <c r="AT105" i="1"/>
  <c r="AS72" i="1"/>
  <c r="AS177" i="1"/>
  <c r="AS102" i="1"/>
  <c r="AS3" i="1"/>
  <c r="AS98" i="1"/>
  <c r="AT173" i="1"/>
  <c r="AS222" i="1"/>
  <c r="AT71" i="1"/>
  <c r="AT5" i="1"/>
  <c r="AT28" i="1"/>
  <c r="AS14" i="1"/>
  <c r="AT193" i="1"/>
  <c r="AT135" i="1"/>
  <c r="AS147" i="1"/>
  <c r="AT124" i="1"/>
  <c r="AS50" i="1"/>
  <c r="AS122" i="1"/>
  <c r="AS22" i="1"/>
  <c r="AT224" i="1"/>
  <c r="AT144" i="1"/>
  <c r="AT169" i="1"/>
  <c r="AT66" i="1"/>
  <c r="AS205" i="1"/>
  <c r="AT63" i="1"/>
  <c r="AT143" i="1"/>
  <c r="AT88" i="1"/>
  <c r="AS92" i="1"/>
  <c r="AT152" i="1"/>
  <c r="AT17" i="1"/>
  <c r="AT65" i="1"/>
  <c r="AS162" i="1"/>
  <c r="AS13" i="1"/>
  <c r="AT204" i="1"/>
  <c r="AS7" i="1"/>
  <c r="AS179" i="1"/>
  <c r="AT184" i="1"/>
  <c r="AT33" i="1"/>
  <c r="AS220" i="1"/>
  <c r="AS193" i="1"/>
  <c r="AT227" i="1"/>
  <c r="AT134" i="1"/>
  <c r="AS99" i="1"/>
  <c r="AT129" i="1"/>
  <c r="AS184" i="1"/>
  <c r="AT18" i="1"/>
  <c r="AS223" i="1"/>
  <c r="AT78" i="1"/>
  <c r="AS101" i="1"/>
  <c r="AT29" i="1"/>
  <c r="AS70" i="1"/>
  <c r="AS16" i="1"/>
  <c r="AS116" i="1"/>
  <c r="AS204" i="1"/>
  <c r="AS210" i="1"/>
  <c r="AS83" i="1"/>
  <c r="AT81" i="1"/>
  <c r="AT86" i="1"/>
  <c r="AT51" i="1"/>
  <c r="AT160" i="1"/>
  <c r="AT147" i="1"/>
  <c r="AT89" i="1"/>
  <c r="AT44" i="1"/>
  <c r="AT16" i="1"/>
  <c r="AT122" i="1"/>
  <c r="AT183" i="1"/>
  <c r="AS200" i="1"/>
  <c r="AS74" i="1"/>
  <c r="AT91" i="1"/>
  <c r="AS100" i="1"/>
  <c r="AS218" i="1"/>
  <c r="AS133" i="1"/>
  <c r="AS166" i="1"/>
  <c r="AS17" i="1"/>
  <c r="AS152" i="1"/>
  <c r="AT14" i="1"/>
  <c r="AT165" i="1"/>
  <c r="AS59" i="1"/>
  <c r="AS24" i="1"/>
  <c r="AT210" i="1"/>
  <c r="AS82" i="1"/>
  <c r="AS112" i="1"/>
  <c r="AS135" i="1"/>
  <c r="AT191" i="1"/>
  <c r="AT225" i="1"/>
  <c r="AT72" i="1"/>
  <c r="AS48" i="1"/>
  <c r="AS106" i="1"/>
  <c r="AT112" i="1"/>
  <c r="AT10" i="1"/>
  <c r="AT146" i="1"/>
  <c r="AT70" i="1"/>
  <c r="AS119" i="1"/>
  <c r="AS198" i="1"/>
  <c r="AS49" i="1"/>
  <c r="AT116" i="1"/>
  <c r="AS183" i="1"/>
  <c r="AS75" i="1"/>
  <c r="AS186" i="1"/>
  <c r="AT177" i="1"/>
  <c r="AS126" i="1"/>
  <c r="AT167" i="1"/>
  <c r="BC229" i="1" l="1"/>
  <c r="B229" i="1" s="1"/>
  <c r="BC227" i="1"/>
  <c r="B227" i="1" s="1"/>
  <c r="BC225" i="1"/>
  <c r="B225" i="1" s="1"/>
  <c r="BC224" i="1"/>
  <c r="B224" i="1" s="1"/>
  <c r="BC223" i="1"/>
  <c r="B223" i="1" s="1"/>
  <c r="BC222" i="1"/>
  <c r="B222" i="1" s="1"/>
  <c r="BC221" i="1"/>
  <c r="B221" i="1" s="1"/>
  <c r="BC210" i="1"/>
  <c r="B210" i="1" s="1"/>
  <c r="BC205" i="1"/>
  <c r="B205" i="1" s="1"/>
  <c r="BC204" i="1"/>
  <c r="B204" i="1" s="1"/>
  <c r="BC200" i="1"/>
  <c r="B200" i="1" s="1"/>
  <c r="BC182" i="1"/>
  <c r="B182" i="1" s="1"/>
  <c r="BC199" i="1"/>
  <c r="B199" i="1" s="1"/>
  <c r="BC198" i="1"/>
  <c r="B198" i="1" s="1"/>
  <c r="BC194" i="1"/>
  <c r="B194" i="1" s="1"/>
  <c r="BC193" i="1"/>
  <c r="B193" i="1" s="1"/>
  <c r="BC191" i="1"/>
  <c r="B191" i="1" s="1"/>
  <c r="BC189" i="1"/>
  <c r="B189" i="1" s="1"/>
  <c r="BC186" i="1"/>
  <c r="B186" i="1" s="1"/>
  <c r="BC185" i="1"/>
  <c r="B185" i="1" s="1"/>
  <c r="BC173" i="1"/>
  <c r="B173" i="1" s="1"/>
  <c r="BC184" i="1"/>
  <c r="B184" i="1" s="1"/>
  <c r="BC165" i="1"/>
  <c r="B165" i="1" s="1"/>
  <c r="BC179" i="1"/>
  <c r="B179" i="1" s="1"/>
  <c r="BC183" i="1"/>
  <c r="B183" i="1" s="1"/>
  <c r="BC180" i="1"/>
  <c r="B180" i="1" s="1"/>
  <c r="BC178" i="1"/>
  <c r="B178" i="1" s="1"/>
  <c r="BC177" i="1"/>
  <c r="B177" i="1" s="1"/>
  <c r="BC149" i="1"/>
  <c r="B149" i="1" s="1"/>
  <c r="BC175" i="1"/>
  <c r="B175" i="1" s="1"/>
  <c r="BC162" i="1"/>
  <c r="B162" i="1" s="1"/>
  <c r="BC167" i="1"/>
  <c r="B167" i="1" s="1"/>
  <c r="BC166" i="1"/>
  <c r="B166" i="1" s="1"/>
  <c r="BC163" i="1"/>
  <c r="B163" i="1" s="1"/>
  <c r="BC154" i="1"/>
  <c r="B154" i="1" s="1"/>
  <c r="BC160" i="1"/>
  <c r="B160" i="1" s="1"/>
  <c r="BC158" i="1"/>
  <c r="B158" i="1" s="1"/>
  <c r="BC152" i="1"/>
  <c r="B152" i="1" s="1"/>
  <c r="BC147" i="1"/>
  <c r="B147" i="1" s="1"/>
  <c r="BC146" i="1"/>
  <c r="B146" i="1" s="1"/>
  <c r="BC145" i="1"/>
  <c r="B145" i="1" s="1"/>
  <c r="BC140" i="1"/>
  <c r="B140" i="1" s="1"/>
  <c r="BC144" i="1"/>
  <c r="B144" i="1" s="1"/>
  <c r="BC143" i="1"/>
  <c r="B143" i="1" s="1"/>
  <c r="BC136" i="1"/>
  <c r="B136" i="1" s="1"/>
  <c r="BC135" i="1"/>
  <c r="B135" i="1" s="1"/>
  <c r="BC134" i="1"/>
  <c r="B134" i="1" s="1"/>
  <c r="BC133" i="1"/>
  <c r="B133" i="1" s="1"/>
  <c r="BC131" i="1"/>
  <c r="B131" i="1" s="1"/>
  <c r="BC130" i="1"/>
  <c r="B130" i="1" s="1"/>
  <c r="BC126" i="1"/>
  <c r="B126" i="1" s="1"/>
  <c r="BC118" i="1"/>
  <c r="B118" i="1" s="1"/>
  <c r="BC129" i="1"/>
  <c r="B129" i="1" s="1"/>
  <c r="BC128" i="1"/>
  <c r="B128" i="1" s="1"/>
  <c r="BC125" i="1"/>
  <c r="B125" i="1" s="1"/>
  <c r="BC124" i="1"/>
  <c r="B124" i="1" s="1"/>
  <c r="BC122" i="1"/>
  <c r="B122" i="1" s="1"/>
  <c r="BC119" i="1"/>
  <c r="B119" i="1" s="1"/>
  <c r="BC101" i="1"/>
  <c r="BC113" i="1"/>
  <c r="B113" i="1" s="1"/>
  <c r="BC112" i="1"/>
  <c r="B112" i="1" s="1"/>
  <c r="BC106" i="1"/>
  <c r="B106" i="1" s="1"/>
  <c r="BC105" i="1"/>
  <c r="B105" i="1" s="1"/>
  <c r="BC98" i="1"/>
  <c r="B98" i="1" s="1"/>
  <c r="BC103" i="1"/>
  <c r="B103" i="1" s="1"/>
  <c r="BC102" i="1"/>
  <c r="B102" i="1" s="1"/>
  <c r="B101" i="1"/>
  <c r="BC100" i="1"/>
  <c r="B100" i="1" s="1"/>
  <c r="BC99" i="1"/>
  <c r="B99" i="1" s="1"/>
  <c r="BC97" i="1"/>
  <c r="B97" i="1" s="1"/>
  <c r="BC92" i="1"/>
  <c r="B92" i="1" s="1"/>
  <c r="BC96" i="1"/>
  <c r="B96" i="1" s="1"/>
  <c r="BC95" i="1"/>
  <c r="B95" i="1" s="1"/>
  <c r="BC94" i="1"/>
  <c r="B94" i="1" s="1"/>
  <c r="BC93" i="1"/>
  <c r="B93" i="1" s="1"/>
  <c r="BC91" i="1"/>
  <c r="B91" i="1" s="1"/>
  <c r="BC90" i="1"/>
  <c r="B90" i="1" s="1"/>
  <c r="BC89" i="1"/>
  <c r="B89" i="1" s="1"/>
  <c r="BC88" i="1"/>
  <c r="B88" i="1" s="1"/>
  <c r="BC84" i="1"/>
  <c r="B84" i="1" s="1"/>
  <c r="BC87" i="1"/>
  <c r="B87" i="1" s="1"/>
  <c r="BC86" i="1"/>
  <c r="B86" i="1" s="1"/>
  <c r="BC85" i="1"/>
  <c r="B85" i="1" s="1"/>
  <c r="BC83" i="1"/>
  <c r="B83" i="1" s="1"/>
  <c r="BC82" i="1"/>
  <c r="B82" i="1" s="1"/>
  <c r="BC81" i="1"/>
  <c r="B81" i="1" s="1"/>
  <c r="BC80" i="1"/>
  <c r="B80" i="1" s="1"/>
  <c r="BC75" i="1"/>
  <c r="B75" i="1" s="1"/>
  <c r="BC79" i="1"/>
  <c r="B79" i="1" s="1"/>
  <c r="BC78" i="1"/>
  <c r="B78" i="1" s="1"/>
  <c r="BC77" i="1"/>
  <c r="B77" i="1" s="1"/>
  <c r="BC76" i="1"/>
  <c r="B76" i="1" s="1"/>
  <c r="BC74" i="1"/>
  <c r="B74" i="1" s="1"/>
  <c r="BC73" i="1"/>
  <c r="B73" i="1" s="1"/>
  <c r="BC72" i="1"/>
  <c r="B72" i="1" s="1"/>
  <c r="BC68" i="1"/>
  <c r="B68" i="1" s="1"/>
  <c r="BC71" i="1"/>
  <c r="B71" i="1" s="1"/>
  <c r="BC70" i="1"/>
  <c r="B70" i="1" s="1"/>
  <c r="BC69" i="1"/>
  <c r="B69" i="1" s="1"/>
  <c r="BC67" i="1"/>
  <c r="B67" i="1" s="1"/>
  <c r="BC66" i="1"/>
  <c r="B66" i="1" s="1"/>
  <c r="BC59" i="1"/>
  <c r="B59" i="1" s="1"/>
  <c r="BC62" i="1"/>
  <c r="B62" i="1" s="1"/>
  <c r="BC65" i="1"/>
  <c r="B65" i="1" s="1"/>
  <c r="BC64" i="1"/>
  <c r="B64" i="1" s="1"/>
  <c r="BC61" i="1"/>
  <c r="B61" i="1" s="1"/>
  <c r="BC63" i="1"/>
  <c r="B63" i="1" s="1"/>
  <c r="BC60" i="1"/>
  <c r="B60" i="1" s="1"/>
  <c r="BC56" i="1"/>
  <c r="B56" i="1" s="1"/>
  <c r="BC51" i="1"/>
  <c r="B51" i="1" s="1"/>
  <c r="BC50" i="1"/>
  <c r="B50" i="1" s="1"/>
  <c r="BC49" i="1"/>
  <c r="B49" i="1" s="1"/>
  <c r="BC48" i="1"/>
  <c r="B48" i="1" s="1"/>
  <c r="BC47" i="1"/>
  <c r="B47" i="1" s="1"/>
  <c r="BC44" i="1"/>
  <c r="B44" i="1" s="1"/>
  <c r="BC40" i="1"/>
  <c r="B40" i="1" s="1"/>
  <c r="BC37" i="1"/>
  <c r="B37" i="1" s="1"/>
  <c r="BC36" i="1"/>
  <c r="B36" i="1" s="1"/>
  <c r="BC33" i="1"/>
  <c r="B33" i="1" s="1"/>
  <c r="BC32" i="1"/>
  <c r="B32" i="1" s="1"/>
  <c r="BC31" i="1"/>
  <c r="B31" i="1" s="1"/>
  <c r="BC30" i="1"/>
  <c r="B30" i="1" s="1"/>
  <c r="BC29" i="1"/>
  <c r="B29" i="1" s="1"/>
  <c r="BC28" i="1"/>
  <c r="B28" i="1" s="1"/>
  <c r="BC27" i="1"/>
  <c r="B27" i="1" s="1"/>
  <c r="BC25" i="1"/>
  <c r="B25" i="1" s="1"/>
  <c r="BC22" i="1"/>
  <c r="B22" i="1" s="1"/>
  <c r="BC24" i="1"/>
  <c r="B24" i="1" s="1"/>
  <c r="BC21" i="1"/>
  <c r="B21" i="1" s="1"/>
  <c r="BC20" i="1"/>
  <c r="B20" i="1" s="1"/>
  <c r="BC18" i="1"/>
  <c r="B18" i="1" s="1"/>
  <c r="BC13" i="1"/>
  <c r="B13" i="1" s="1"/>
  <c r="BC17" i="1"/>
  <c r="B17" i="1" s="1"/>
  <c r="BC16" i="1"/>
  <c r="B16" i="1" s="1"/>
  <c r="BC15" i="1"/>
  <c r="B15" i="1" s="1"/>
  <c r="BC14" i="1"/>
  <c r="B14" i="1" s="1"/>
  <c r="BC12" i="1"/>
  <c r="B12" i="1" s="1"/>
  <c r="Q104" i="1"/>
  <c r="BC11" i="1"/>
  <c r="B11" i="1" s="1"/>
  <c r="BC10" i="1"/>
  <c r="B10" i="1" s="1"/>
  <c r="AT150" i="1"/>
  <c r="BC9" i="1"/>
  <c r="B9" i="1" s="1"/>
  <c r="BC8" i="1"/>
  <c r="B8" i="1" s="1"/>
  <c r="AS206" i="1"/>
  <c r="BC7" i="1"/>
  <c r="B7" i="1" s="1"/>
  <c r="BC6" i="1"/>
  <c r="B6" i="1" s="1"/>
  <c r="AS190" i="1"/>
  <c r="AS228" i="1"/>
  <c r="AT230" i="1"/>
  <c r="AT203" i="1"/>
  <c r="BC5" i="1"/>
  <c r="B5" i="1" s="1"/>
  <c r="AT209" i="1"/>
  <c r="AT176" i="1"/>
  <c r="AT142" i="1"/>
  <c r="BC4" i="1"/>
  <c r="B4" i="1" s="1"/>
  <c r="AS137" i="1"/>
  <c r="AT123" i="1"/>
  <c r="AT168" i="1"/>
  <c r="AS188" i="1"/>
  <c r="AT197" i="1"/>
  <c r="Q110" i="1"/>
  <c r="AT38" i="1"/>
  <c r="AT45" i="1"/>
  <c r="Q116" i="1"/>
  <c r="AS196" i="1"/>
  <c r="AS174" i="1"/>
  <c r="AT148" i="1"/>
  <c r="AS155" i="1"/>
  <c r="AS157" i="1"/>
  <c r="AT132" i="1"/>
  <c r="AS107" i="1"/>
  <c r="Q114" i="1"/>
  <c r="BC3" i="1"/>
  <c r="B3" i="1" s="1"/>
  <c r="AT141" i="1"/>
  <c r="AS226" i="1"/>
  <c r="AS39" i="1"/>
  <c r="AT108" i="1"/>
  <c r="AS41" i="1"/>
  <c r="AT161" i="1"/>
  <c r="AT43" i="1"/>
  <c r="AT109" i="1"/>
  <c r="AT42" i="1"/>
  <c r="AS187" i="1"/>
  <c r="AT215" i="1"/>
  <c r="AT207" i="1"/>
  <c r="AS153" i="1"/>
  <c r="AS138" i="1"/>
  <c r="BC230" i="1"/>
  <c r="BC38" i="1"/>
  <c r="Q117" i="1"/>
  <c r="Q111" i="1"/>
  <c r="G209" i="1"/>
  <c r="F209" i="1"/>
  <c r="E209" i="1" s="1"/>
  <c r="G176" i="1"/>
  <c r="F176" i="1"/>
  <c r="E176" i="1" s="1"/>
  <c r="AS127" i="1"/>
  <c r="AT127" i="1"/>
  <c r="G127" i="1"/>
  <c r="F127" i="1"/>
  <c r="E127" i="1" s="1"/>
  <c r="G109" i="1"/>
  <c r="F109" i="1"/>
  <c r="E109" i="1" s="1"/>
  <c r="G45" i="1"/>
  <c r="F45" i="1"/>
  <c r="E45" i="1" s="1"/>
  <c r="F155" i="1"/>
  <c r="E155" i="1" s="1"/>
  <c r="G155" i="1"/>
  <c r="F201" i="1"/>
  <c r="E201" i="1" s="1"/>
  <c r="AT201" i="1"/>
  <c r="G201" i="1"/>
  <c r="AS201" i="1"/>
  <c r="F137" i="1"/>
  <c r="E137" i="1" s="1"/>
  <c r="G137" i="1"/>
  <c r="AT219" i="1"/>
  <c r="AS219" i="1"/>
  <c r="G219" i="1"/>
  <c r="F219" i="1"/>
  <c r="E219" i="1" s="1"/>
  <c r="F168" i="1"/>
  <c r="E168" i="1" s="1"/>
  <c r="G168" i="1"/>
  <c r="AS104" i="1"/>
  <c r="AT104" i="1"/>
  <c r="G104" i="1"/>
  <c r="F104" i="1"/>
  <c r="E104" i="1" s="1"/>
  <c r="AS55" i="1"/>
  <c r="AT55" i="1"/>
  <c r="G55" i="1"/>
  <c r="F55" i="1"/>
  <c r="E55" i="1" s="1"/>
  <c r="F214" i="1"/>
  <c r="E214" i="1" s="1"/>
  <c r="AS214" i="1"/>
  <c r="G214" i="1"/>
  <c r="AT214" i="1"/>
  <c r="F150" i="1"/>
  <c r="E150" i="1" s="1"/>
  <c r="G150" i="1"/>
  <c r="BC214" i="1"/>
  <c r="BC150" i="1"/>
  <c r="BC190" i="1"/>
  <c r="BC115" i="1"/>
  <c r="BC218" i="1"/>
  <c r="BC26" i="1"/>
  <c r="BC121" i="1"/>
  <c r="BC57" i="1"/>
  <c r="BC216" i="1"/>
  <c r="BC55" i="1"/>
  <c r="BC54" i="1"/>
  <c r="BC157" i="1"/>
  <c r="BC196" i="1"/>
  <c r="BC132" i="1"/>
  <c r="BC171" i="1"/>
  <c r="BC107" i="1"/>
  <c r="BC43" i="1"/>
  <c r="BC208" i="1"/>
  <c r="BC111" i="1"/>
  <c r="Q121" i="1"/>
  <c r="BC174" i="1"/>
  <c r="BC110" i="1"/>
  <c r="BC46" i="1"/>
  <c r="BC213" i="1"/>
  <c r="BC188" i="1"/>
  <c r="BC35" i="1"/>
  <c r="BC202" i="1"/>
  <c r="BC138" i="1"/>
  <c r="BC169" i="1"/>
  <c r="BC41" i="1"/>
  <c r="BC39" i="1"/>
  <c r="BC141" i="1"/>
  <c r="BC116" i="1"/>
  <c r="BC52" i="1"/>
  <c r="BC219" i="1"/>
  <c r="BC155" i="1"/>
  <c r="BC161" i="1"/>
  <c r="BC192" i="1"/>
  <c r="BC159" i="1"/>
  <c r="G196" i="1"/>
  <c r="F196" i="1"/>
  <c r="E196" i="1" s="1"/>
  <c r="F132" i="1"/>
  <c r="E132" i="1" s="1"/>
  <c r="G132" i="1"/>
  <c r="F211" i="1"/>
  <c r="E211" i="1" s="1"/>
  <c r="G211" i="1"/>
  <c r="G19" i="1"/>
  <c r="F19" i="1"/>
  <c r="E19" i="1" s="1"/>
  <c r="AT19" i="1"/>
  <c r="AS19" i="1"/>
  <c r="AS58" i="1"/>
  <c r="AT58" i="1"/>
  <c r="G58" i="1"/>
  <c r="F58" i="1"/>
  <c r="E58" i="1" s="1"/>
  <c r="F111" i="1"/>
  <c r="E111" i="1" s="1"/>
  <c r="AT111" i="1"/>
  <c r="AS111" i="1"/>
  <c r="G111" i="1"/>
  <c r="G206" i="1"/>
  <c r="F206" i="1"/>
  <c r="E206" i="1" s="1"/>
  <c r="G142" i="1"/>
  <c r="F142" i="1"/>
  <c r="E142" i="1" s="1"/>
  <c r="G157" i="1"/>
  <c r="F157" i="1"/>
  <c r="E157" i="1" s="1"/>
  <c r="G188" i="1"/>
  <c r="F188" i="1"/>
  <c r="E188" i="1" s="1"/>
  <c r="F203" i="1"/>
  <c r="E203" i="1" s="1"/>
  <c r="G203" i="1"/>
  <c r="F139" i="1"/>
  <c r="E139" i="1" s="1"/>
  <c r="G139" i="1"/>
  <c r="F114" i="1"/>
  <c r="E114" i="1" s="1"/>
  <c r="AS114" i="1"/>
  <c r="AT114" i="1"/>
  <c r="G114" i="1"/>
  <c r="Q120" i="1"/>
  <c r="F121" i="1"/>
  <c r="E121" i="1" s="1"/>
  <c r="AT121" i="1"/>
  <c r="AS121" i="1"/>
  <c r="G121" i="1"/>
  <c r="AS57" i="1"/>
  <c r="AT57" i="1"/>
  <c r="G57" i="1"/>
  <c r="F57" i="1"/>
  <c r="E57" i="1" s="1"/>
  <c r="G216" i="1"/>
  <c r="F216" i="1"/>
  <c r="E216" i="1" s="1"/>
  <c r="F39" i="1"/>
  <c r="E39" i="1" s="1"/>
  <c r="G39" i="1"/>
  <c r="G213" i="1"/>
  <c r="F213" i="1"/>
  <c r="E213" i="1" s="1"/>
  <c r="G116" i="1"/>
  <c r="F116" i="1"/>
  <c r="E116" i="1" s="1"/>
  <c r="G52" i="1"/>
  <c r="AT52" i="1"/>
  <c r="AS52" i="1"/>
  <c r="F52" i="1"/>
  <c r="E52" i="1" s="1"/>
  <c r="AT195" i="1"/>
  <c r="F195" i="1"/>
  <c r="E195" i="1" s="1"/>
  <c r="AS195" i="1"/>
  <c r="G195" i="1"/>
  <c r="G170" i="1"/>
  <c r="AS170" i="1"/>
  <c r="AT170" i="1"/>
  <c r="F170" i="1"/>
  <c r="E170" i="1" s="1"/>
  <c r="F42" i="1"/>
  <c r="E42" i="1" s="1"/>
  <c r="G42" i="1"/>
  <c r="G208" i="1"/>
  <c r="F208" i="1"/>
  <c r="E208" i="1" s="1"/>
  <c r="AT208" i="1"/>
  <c r="AS208" i="1"/>
  <c r="F159" i="1"/>
  <c r="E159" i="1" s="1"/>
  <c r="AS159" i="1"/>
  <c r="AT159" i="1"/>
  <c r="G159" i="1"/>
  <c r="G190" i="1"/>
  <c r="F190" i="1"/>
  <c r="E190" i="1" s="1"/>
  <c r="F141" i="1"/>
  <c r="E141" i="1" s="1"/>
  <c r="G141" i="1"/>
  <c r="AS172" i="1"/>
  <c r="AT172" i="1"/>
  <c r="G172" i="1"/>
  <c r="F172" i="1"/>
  <c r="E172" i="1" s="1"/>
  <c r="G108" i="1"/>
  <c r="F108" i="1"/>
  <c r="E108" i="1" s="1"/>
  <c r="G187" i="1"/>
  <c r="F187" i="1"/>
  <c r="E187" i="1" s="1"/>
  <c r="G123" i="1"/>
  <c r="F123" i="1"/>
  <c r="E123" i="1" s="1"/>
  <c r="G226" i="1"/>
  <c r="F226" i="1"/>
  <c r="E226" i="1" s="1"/>
  <c r="F34" i="1"/>
  <c r="E34" i="1" s="1"/>
  <c r="AS34" i="1"/>
  <c r="AT34" i="1"/>
  <c r="G34" i="1"/>
  <c r="F169" i="1"/>
  <c r="E169" i="1" s="1"/>
  <c r="G169" i="1"/>
  <c r="G41" i="1"/>
  <c r="F41" i="1"/>
  <c r="E41" i="1" s="1"/>
  <c r="G215" i="1"/>
  <c r="F215" i="1"/>
  <c r="E215" i="1" s="1"/>
  <c r="AT151" i="1"/>
  <c r="G151" i="1"/>
  <c r="F151" i="1"/>
  <c r="E151" i="1" s="1"/>
  <c r="AS151" i="1"/>
  <c r="F23" i="1"/>
  <c r="E23" i="1" s="1"/>
  <c r="AT23" i="1"/>
  <c r="AS23" i="1"/>
  <c r="G23" i="1"/>
  <c r="AT54" i="1"/>
  <c r="AS54" i="1"/>
  <c r="G54" i="1"/>
  <c r="F54" i="1"/>
  <c r="E54" i="1" s="1"/>
  <c r="G197" i="1"/>
  <c r="F197" i="1"/>
  <c r="E197" i="1" s="1"/>
  <c r="G228" i="1"/>
  <c r="F228" i="1"/>
  <c r="E228" i="1" s="1"/>
  <c r="F164" i="1"/>
  <c r="E164" i="1" s="1"/>
  <c r="AT164" i="1"/>
  <c r="AS164" i="1"/>
  <c r="G164" i="1"/>
  <c r="AS115" i="1"/>
  <c r="AT115" i="1"/>
  <c r="F115" i="1"/>
  <c r="E115" i="1" s="1"/>
  <c r="G115" i="1"/>
  <c r="G218" i="1"/>
  <c r="F218" i="1"/>
  <c r="E218" i="1" s="1"/>
  <c r="AS26" i="1"/>
  <c r="AT26" i="1"/>
  <c r="G26" i="1"/>
  <c r="F26" i="1"/>
  <c r="E26" i="1" s="1"/>
  <c r="F161" i="1"/>
  <c r="E161" i="1" s="1"/>
  <c r="G161" i="1"/>
  <c r="AT192" i="1"/>
  <c r="AS192" i="1"/>
  <c r="G192" i="1"/>
  <c r="F192" i="1"/>
  <c r="E192" i="1" s="1"/>
  <c r="F207" i="1"/>
  <c r="E207" i="1" s="1"/>
  <c r="G207" i="1"/>
  <c r="F174" i="1"/>
  <c r="E174" i="1" s="1"/>
  <c r="G174" i="1"/>
  <c r="F110" i="1"/>
  <c r="E110" i="1" s="1"/>
  <c r="AT110" i="1"/>
  <c r="AS110" i="1"/>
  <c r="G110" i="1"/>
  <c r="F46" i="1"/>
  <c r="E46" i="1" s="1"/>
  <c r="AS46" i="1"/>
  <c r="G46" i="1"/>
  <c r="AT46" i="1"/>
  <c r="G220" i="1"/>
  <c r="F220" i="1"/>
  <c r="E220" i="1" s="1"/>
  <c r="AT156" i="1"/>
  <c r="AS156" i="1"/>
  <c r="G156" i="1"/>
  <c r="F156" i="1"/>
  <c r="E156" i="1" s="1"/>
  <c r="F171" i="1"/>
  <c r="E171" i="1" s="1"/>
  <c r="AS171" i="1"/>
  <c r="AT171" i="1"/>
  <c r="G171" i="1"/>
  <c r="F107" i="1"/>
  <c r="E107" i="1" s="1"/>
  <c r="G107" i="1"/>
  <c r="F43" i="1"/>
  <c r="E43" i="1" s="1"/>
  <c r="G43" i="1"/>
  <c r="F217" i="1"/>
  <c r="E217" i="1" s="1"/>
  <c r="AS217" i="1"/>
  <c r="AT217" i="1"/>
  <c r="G217" i="1"/>
  <c r="G153" i="1"/>
  <c r="F153" i="1"/>
  <c r="E153" i="1" s="1"/>
  <c r="F120" i="1"/>
  <c r="E120" i="1" s="1"/>
  <c r="G120" i="1"/>
  <c r="AT120" i="1"/>
  <c r="AS120" i="1"/>
  <c r="G230" i="1"/>
  <c r="F230" i="1"/>
  <c r="E230" i="1" s="1"/>
  <c r="G38" i="1"/>
  <c r="F38" i="1"/>
  <c r="E38" i="1" s="1"/>
  <c r="AT181" i="1"/>
  <c r="AS181" i="1"/>
  <c r="G181" i="1"/>
  <c r="F181" i="1"/>
  <c r="E181" i="1" s="1"/>
  <c r="G117" i="1"/>
  <c r="F117" i="1"/>
  <c r="E117" i="1" s="1"/>
  <c r="AS117" i="1"/>
  <c r="AT117" i="1"/>
  <c r="F53" i="1"/>
  <c r="E53" i="1" s="1"/>
  <c r="AT53" i="1"/>
  <c r="AS53" i="1"/>
  <c r="G53" i="1"/>
  <c r="AT212" i="1"/>
  <c r="AS212" i="1"/>
  <c r="G212" i="1"/>
  <c r="F212" i="1"/>
  <c r="E212" i="1" s="1"/>
  <c r="G148" i="1"/>
  <c r="F148" i="1"/>
  <c r="E148" i="1" s="1"/>
  <c r="G35" i="1"/>
  <c r="F35" i="1"/>
  <c r="E35" i="1" s="1"/>
  <c r="AS35" i="1"/>
  <c r="AT35" i="1"/>
  <c r="AT202" i="1"/>
  <c r="AS202" i="1"/>
  <c r="G202" i="1"/>
  <c r="F202" i="1"/>
  <c r="E202" i="1" s="1"/>
  <c r="F138" i="1"/>
  <c r="E138" i="1" s="1"/>
  <c r="G138" i="1"/>
  <c r="Q115" i="1"/>
  <c r="BC197" i="1"/>
  <c r="BC172" i="1"/>
  <c r="BC108" i="1"/>
  <c r="BC211" i="1"/>
  <c r="BC19" i="1"/>
  <c r="BC58" i="1"/>
  <c r="BC217" i="1"/>
  <c r="BC153" i="1"/>
  <c r="BC120" i="1"/>
  <c r="BC215" i="1"/>
  <c r="BC151" i="1"/>
  <c r="BC23" i="1"/>
  <c r="BC228" i="1"/>
  <c r="BC164" i="1"/>
  <c r="BC203" i="1"/>
  <c r="BC139" i="1"/>
  <c r="BC114" i="1"/>
  <c r="BC209" i="1"/>
  <c r="BC176" i="1"/>
  <c r="BC207" i="1"/>
  <c r="Q123" i="1"/>
  <c r="BC206" i="1"/>
  <c r="BC142" i="1"/>
  <c r="BC181" i="1"/>
  <c r="BC117" i="1"/>
  <c r="BC53" i="1"/>
  <c r="BC220" i="1"/>
  <c r="BC156" i="1"/>
  <c r="BC195" i="1"/>
  <c r="BC170" i="1"/>
  <c r="BC42" i="1"/>
  <c r="BC201" i="1"/>
  <c r="BC137" i="1"/>
  <c r="BC168" i="1"/>
  <c r="BC104" i="1"/>
  <c r="BC109" i="1"/>
  <c r="BC45" i="1"/>
  <c r="BC212" i="1"/>
  <c r="BC148" i="1"/>
  <c r="BC187" i="1"/>
  <c r="BC123" i="1"/>
  <c r="BC226" i="1"/>
  <c r="BC34" i="1"/>
  <c r="BC127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07" i="1" s="1"/>
  <c r="B11" i="8"/>
  <c r="B12" i="8"/>
  <c r="B108" i="1" s="1"/>
  <c r="B13" i="8"/>
  <c r="B109" i="1" s="1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111" i="1" s="1"/>
  <c r="B29" i="8"/>
  <c r="B30" i="8"/>
  <c r="B31" i="8"/>
  <c r="B32" i="8"/>
  <c r="B114" i="1" s="1"/>
  <c r="B33" i="8"/>
  <c r="B34" i="8"/>
  <c r="B35" i="8"/>
  <c r="B36" i="8"/>
  <c r="B37" i="8"/>
  <c r="B38" i="8"/>
  <c r="B39" i="8"/>
  <c r="B40" i="8"/>
  <c r="B41" i="8"/>
  <c r="B117" i="1" s="1"/>
  <c r="B42" i="8"/>
  <c r="B43" i="8"/>
  <c r="B44" i="8"/>
  <c r="B45" i="8"/>
  <c r="B46" i="8"/>
  <c r="B47" i="8"/>
  <c r="B48" i="8"/>
  <c r="B123" i="1" s="1"/>
  <c r="B49" i="8"/>
  <c r="B127" i="1" s="1"/>
  <c r="B50" i="8"/>
  <c r="B51" i="8"/>
  <c r="B52" i="8"/>
  <c r="B53" i="8"/>
  <c r="B54" i="8"/>
  <c r="B55" i="8"/>
  <c r="B132" i="1" s="1"/>
  <c r="B56" i="8"/>
  <c r="B57" i="8"/>
  <c r="B58" i="8"/>
  <c r="B59" i="8"/>
  <c r="B60" i="8"/>
  <c r="B61" i="8"/>
  <c r="B62" i="8"/>
  <c r="B63" i="8"/>
  <c r="B137" i="1" s="1"/>
  <c r="B64" i="8"/>
  <c r="B141" i="1" s="1"/>
  <c r="B65" i="8"/>
  <c r="B142" i="1" s="1"/>
  <c r="B66" i="8"/>
  <c r="B67" i="8"/>
  <c r="B148" i="1" s="1"/>
  <c r="B68" i="8"/>
  <c r="B150" i="1" s="1"/>
  <c r="B69" i="8"/>
  <c r="B70" i="8"/>
  <c r="B71" i="8"/>
  <c r="B72" i="8"/>
  <c r="B73" i="8"/>
  <c r="B74" i="8"/>
  <c r="B75" i="8"/>
  <c r="B76" i="8"/>
  <c r="B77" i="8"/>
  <c r="B78" i="8"/>
  <c r="B79" i="8"/>
  <c r="B155" i="1" s="1"/>
  <c r="B80" i="8"/>
  <c r="B81" i="8"/>
  <c r="B82" i="8"/>
  <c r="B83" i="8"/>
  <c r="B84" i="8"/>
  <c r="B85" i="8"/>
  <c r="B86" i="8"/>
  <c r="B87" i="8"/>
  <c r="B88" i="8"/>
  <c r="B89" i="8"/>
  <c r="B157" i="1" s="1"/>
  <c r="B90" i="8"/>
  <c r="B161" i="1" s="1"/>
  <c r="B91" i="8"/>
  <c r="B92" i="8"/>
  <c r="B93" i="8"/>
  <c r="B94" i="8"/>
  <c r="B95" i="8"/>
  <c r="B96" i="8"/>
  <c r="B97" i="8"/>
  <c r="B98" i="8"/>
  <c r="B99" i="8"/>
  <c r="B100" i="8"/>
  <c r="B101" i="8"/>
  <c r="B174" i="1" s="1"/>
  <c r="B102" i="8"/>
  <c r="B103" i="8"/>
  <c r="B176" i="1" s="1"/>
  <c r="B104" i="8"/>
  <c r="B105" i="8"/>
  <c r="B106" i="8"/>
  <c r="B181" i="1" s="1"/>
  <c r="B107" i="8"/>
  <c r="B108" i="8"/>
  <c r="B109" i="8"/>
  <c r="B188" i="1" s="1"/>
  <c r="B110" i="8"/>
  <c r="B111" i="8"/>
  <c r="B190" i="1" s="1"/>
  <c r="B112" i="8"/>
  <c r="B192" i="1" s="1"/>
  <c r="B113" i="8"/>
  <c r="B196" i="1" s="1"/>
  <c r="B114" i="8"/>
  <c r="B201" i="1" s="1"/>
  <c r="B115" i="8"/>
  <c r="B206" i="1" s="1"/>
  <c r="B116" i="8"/>
  <c r="B207" i="1" s="1"/>
  <c r="B117" i="8"/>
  <c r="B118" i="8"/>
  <c r="B208" i="1" s="1"/>
  <c r="B119" i="8"/>
  <c r="B120" i="8"/>
  <c r="B121" i="8"/>
  <c r="B209" i="1" s="1"/>
  <c r="B122" i="8"/>
  <c r="B123" i="8"/>
  <c r="B124" i="8"/>
  <c r="B125" i="8"/>
  <c r="B126" i="8"/>
  <c r="B127" i="8"/>
  <c r="B128" i="8"/>
  <c r="B211" i="1" s="1"/>
  <c r="B129" i="8"/>
  <c r="B130" i="8"/>
  <c r="B131" i="8"/>
  <c r="B132" i="8"/>
  <c r="B133" i="8"/>
  <c r="B134" i="8"/>
  <c r="B135" i="8"/>
  <c r="B136" i="8"/>
  <c r="B137" i="8"/>
  <c r="B138" i="8"/>
  <c r="B139" i="8"/>
  <c r="B226" i="1" s="1"/>
  <c r="B140" i="8"/>
  <c r="B141" i="8"/>
  <c r="B142" i="8"/>
  <c r="B143" i="8"/>
  <c r="B144" i="8"/>
  <c r="B228" i="1" s="1"/>
  <c r="B145" i="8"/>
  <c r="B146" i="8"/>
  <c r="B147" i="8"/>
  <c r="B148" i="8"/>
  <c r="B230" i="1" s="1"/>
  <c r="B149" i="8"/>
  <c r="B150" i="8"/>
  <c r="B151" i="8"/>
  <c r="B152" i="8"/>
  <c r="B19" i="1" s="1"/>
  <c r="B153" i="8"/>
  <c r="B154" i="8"/>
  <c r="B155" i="8"/>
  <c r="B23" i="1" s="1"/>
  <c r="B156" i="8"/>
  <c r="B26" i="1" s="1"/>
  <c r="B157" i="8"/>
  <c r="B158" i="8"/>
  <c r="B159" i="8"/>
  <c r="B160" i="8"/>
  <c r="B161" i="8"/>
  <c r="B34" i="1" s="1"/>
  <c r="B162" i="8"/>
  <c r="B35" i="1" s="1"/>
  <c r="B163" i="8"/>
  <c r="B164" i="8"/>
  <c r="B38" i="1" s="1"/>
  <c r="B165" i="8"/>
  <c r="B166" i="8"/>
  <c r="B39" i="1" s="1"/>
  <c r="B167" i="8"/>
  <c r="B41" i="1" s="1"/>
  <c r="B168" i="8"/>
  <c r="B169" i="8"/>
  <c r="B42" i="1" s="1"/>
  <c r="B170" i="8"/>
  <c r="B43" i="1" s="1"/>
  <c r="B171" i="8"/>
  <c r="B45" i="1" s="1"/>
  <c r="B172" i="8"/>
  <c r="B173" i="8"/>
  <c r="B46" i="1" s="1"/>
  <c r="B174" i="8"/>
  <c r="B175" i="8"/>
  <c r="B52" i="1" s="1"/>
  <c r="B176" i="8"/>
  <c r="B177" i="8"/>
  <c r="B53" i="1" s="1"/>
  <c r="B178" i="8"/>
  <c r="B179" i="8"/>
  <c r="B54" i="1" s="1"/>
  <c r="B180" i="8"/>
  <c r="B55" i="1" s="1"/>
  <c r="B181" i="8"/>
  <c r="B182" i="8"/>
  <c r="B183" i="8"/>
  <c r="B184" i="8"/>
  <c r="B57" i="1" s="1"/>
  <c r="B185" i="8"/>
  <c r="B186" i="8"/>
  <c r="B58" i="1" s="1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104" i="1" s="1"/>
  <c r="B216" i="8"/>
  <c r="B217" i="8"/>
  <c r="B219" i="8"/>
  <c r="B220" i="8"/>
  <c r="B221" i="8"/>
  <c r="B222" i="8"/>
  <c r="B223" i="8"/>
  <c r="B224" i="8"/>
  <c r="B110" i="1" s="1"/>
  <c r="B225" i="8"/>
  <c r="B226" i="8"/>
  <c r="B227" i="8"/>
  <c r="B228" i="8"/>
  <c r="B229" i="8"/>
  <c r="B230" i="8"/>
  <c r="B231" i="8"/>
  <c r="B232" i="8"/>
  <c r="B120" i="1" s="1"/>
  <c r="B233" i="8"/>
  <c r="B121" i="1" s="1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138" i="1" s="1"/>
  <c r="B264" i="8"/>
  <c r="B139" i="1" s="1"/>
  <c r="B265" i="8"/>
  <c r="B266" i="8"/>
  <c r="B267" i="8"/>
  <c r="B268" i="8"/>
  <c r="B269" i="8"/>
  <c r="B151" i="1" s="1"/>
  <c r="B270" i="8"/>
  <c r="B271" i="8"/>
  <c r="B272" i="8"/>
  <c r="B273" i="8"/>
  <c r="B274" i="8"/>
  <c r="B275" i="8"/>
  <c r="B276" i="8"/>
  <c r="B277" i="8"/>
  <c r="B278" i="8"/>
  <c r="B279" i="8"/>
  <c r="B153" i="1" s="1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156" i="1" s="1"/>
  <c r="B306" i="8"/>
  <c r="B307" i="8"/>
  <c r="B308" i="8"/>
  <c r="B309" i="8"/>
  <c r="B159" i="1" s="1"/>
  <c r="B310" i="8"/>
  <c r="B311" i="8"/>
  <c r="B312" i="8"/>
  <c r="B164" i="1" s="1"/>
  <c r="B313" i="8"/>
  <c r="B314" i="8"/>
  <c r="B315" i="8"/>
  <c r="B316" i="8"/>
  <c r="B170" i="1" s="1"/>
  <c r="B317" i="8"/>
  <c r="B318" i="8"/>
  <c r="B319" i="8"/>
  <c r="B171" i="1" s="1"/>
  <c r="B320" i="8"/>
  <c r="B321" i="8"/>
  <c r="B172" i="1" s="1"/>
  <c r="B322" i="8"/>
  <c r="B323" i="8"/>
  <c r="B324" i="8"/>
  <c r="B325" i="8"/>
  <c r="B326" i="8"/>
  <c r="B327" i="8"/>
  <c r="B328" i="8"/>
  <c r="B329" i="8"/>
  <c r="B330" i="8"/>
  <c r="B331" i="8"/>
  <c r="B332" i="8"/>
  <c r="B333" i="8"/>
  <c r="B187" i="1" s="1"/>
  <c r="B334" i="8"/>
  <c r="B335" i="8"/>
  <c r="B336" i="8"/>
  <c r="B337" i="8"/>
  <c r="B338" i="8"/>
  <c r="B339" i="8"/>
  <c r="B340" i="8"/>
  <c r="B195" i="1" s="1"/>
  <c r="B341" i="8"/>
  <c r="B197" i="1" s="1"/>
  <c r="B342" i="8"/>
  <c r="B343" i="8"/>
  <c r="B344" i="8"/>
  <c r="B202" i="1" s="1"/>
  <c r="B345" i="8"/>
  <c r="B203" i="1" s="1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219" i="1" l="1"/>
  <c r="B218" i="1"/>
  <c r="B217" i="1"/>
  <c r="B220" i="1"/>
  <c r="B213" i="1"/>
  <c r="B214" i="1"/>
  <c r="B212" i="1"/>
  <c r="B215" i="1"/>
  <c r="B216" i="1"/>
  <c r="B168" i="1"/>
  <c r="B169" i="1"/>
  <c r="B115" i="1"/>
  <c r="B116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<sst xmlns="http://schemas.openxmlformats.org/spreadsheetml/2006/main" count="10651" uniqueCount="2717">
  <si>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</si>
  <si>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</si>
  <si>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</si>
  <si>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</si>
  <si>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</si>
  <si>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</si>
  <si>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</si>
  <si>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</si>
  <si>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</si>
  <si>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</si>
  <si>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</si>
  <si>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</si>
  <si>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</si>
  <si>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</si>
  <si>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</si>
  <si>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</si>
  <si>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</si>
  <si>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</si>
  <si>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</si>
  <si>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</si>
  <si>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</si>
  <si>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</si>
  <si>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</si>
  <si>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</si>
  <si>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</si>
  <si>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</si>
  <si>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</si>
  <si>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</si>
  <si>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</si>
  <si>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</si>
  <si>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</si>
  <si>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</si>
  <si>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</si>
  <si>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</si>
  <si>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</si>
  <si>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</si>
  <si>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</si>
  <si>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</si>
  <si>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</si>
  <si>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</si>
  <si>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</si>
  <si>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</si>
  <si>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</si>
  <si>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</si>
  <si>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</si>
  <si>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</si>
  <si>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</si>
  <si>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</si>
  <si>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</si>
  <si>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</si>
  <si>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</si>
  <si>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</si>
  <si>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</si>
  <si>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</si>
  <si>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</si>
  <si>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</si>
  <si>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</si>
  <si>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</si>
  <si>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</si>
  <si>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</si>
  <si>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</si>
  <si>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</si>
  <si>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</si>
  <si>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</si>
  <si>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</si>
  <si>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</si>
  <si>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</si>
  <si>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</si>
  <si>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</si>
  <si>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</si>
  <si>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</si>
  <si>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</si>
  <si>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</si>
  <si>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</si>
  <si>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</si>
  <si>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</si>
  <si>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</si>
  <si>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</si>
  <si>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</si>
  <si>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</si>
  <si>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</si>
  <si>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</si>
  <si>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</si>
  <si>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</si>
  <si>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</si>
  <si>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</si>
  <si>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</si>
  <si>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</si>
  <si>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</si>
  <si>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</si>
  <si>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</si>
  <si>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</si>
  <si>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</si>
  <si>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</si>
  <si>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</si>
  <si>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</si>
  <si>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</si>
  <si>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</si>
  <si>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</si>
  <si>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</si>
  <si>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</si>
  <si>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</si>
  <si>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</si>
  <si>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</si>
  <si>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</si>
  <si>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</si>
  <si>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</si>
  <si>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</si>
  <si>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</si>
  <si>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</si>
  <si>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</si>
  <si>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</si>
  <si>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</si>
  <si>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</si>
  <si>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</si>
  <si>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</si>
  <si>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</si>
  <si>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</si>
  <si>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</si>
  <si>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</si>
  <si>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</si>
  <si>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</si>
  <si>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</si>
  <si>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</si>
  <si>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</si>
  <si>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</si>
  <si>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</si>
  <si>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</si>
  <si>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</si>
  <si>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</si>
  <si>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</si>
  <si>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</si>
  <si>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</si>
  <si>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</si>
  <si>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</si>
  <si>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</si>
  <si>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</si>
  <si>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</si>
  <si>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</si>
  <si>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</si>
  <si>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</si>
  <si>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</si>
  <si>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</si>
  <si>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</si>
  <si>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</si>
  <si>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</si>
  <si>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</si>
  <si>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</si>
  <si>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</si>
  <si>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</si>
  <si>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</si>
  <si>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</si>
  <si>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</si>
  <si>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</si>
  <si>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</si>
  <si>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</si>
  <si>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</si>
  <si>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</si>
  <si>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</si>
  <si>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</si>
  <si>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</si>
  <si>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</si>
  <si>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</si>
  <si>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</si>
  <si>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</si>
  <si>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</si>
  <si>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</si>
  <si>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</si>
  <si>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</si>
  <si>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</si>
  <si>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</si>
  <si>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</si>
  <si>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</si>
  <si>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</si>
  <si>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</si>
  <si>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</si>
  <si>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</si>
  <si>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</si>
  <si>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</si>
  <si>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</si>
  <si>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</si>
  <si>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</si>
  <si>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</si>
  <si>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</si>
  <si>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</si>
  <si>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</si>
  <si>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</si>
  <si>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</si>
  <si>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</si>
  <si>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</si>
  <si>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</si>
  <si>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</si>
  <si>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</si>
  <si>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</si>
  <si>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</si>
  <si>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</si>
  <si>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</si>
  <si>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</si>
  <si>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</si>
  <si>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</si>
  <si>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</si>
  <si>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</si>
  <si>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</si>
  <si>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</si>
  <si>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</si>
  <si>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</si>
  <si>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</si>
  <si>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</si>
  <si>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</si>
  <si>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</si>
  <si>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</si>
  <si>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</si>
  <si>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</si>
  <si>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</si>
  <si>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</si>
  <si>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</si>
  <si>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</si>
  <si>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</si>
  <si>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</si>
  <si>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</si>
  <si>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</si>
  <si>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</si>
  <si>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</si>
  <si>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</si>
  <si>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</si>
  <si>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</si>
  <si>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</si>
  <si>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</si>
  <si>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</si>
  <si>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</si>
  <si>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</si>
  <si>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</si>
  <si>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</si>
  <si>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</si>
  <si>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</si>
  <si>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</si>
  <si>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</si>
  <si>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</si>
  <si>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</si>
  <si>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</si>
  <si>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</si>
  <si>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</si>
  <si>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</si>
  <si>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</si>
  <si>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</si>
  <si>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</si>
  <si>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</si>
  <si>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</si>
  <si>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</si>
  <si>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</si>
  <si>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</si>
  <si>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</si>
  <si>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</si>
  <si>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</si>
  <si>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</si>
  <si>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</si>
  <si>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</si>
  <si>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</si>
  <si>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</si>
  <si>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</si>
  <si>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</si>
  <si>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</si>
  <si>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</si>
  <si>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</si>
  <si>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</si>
  <si>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</si>
  <si>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</si>
  <si>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</si>
  <si>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</si>
  <si>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</si>
  <si>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</si>
  <si>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</si>
  <si>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</si>
  <si>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</si>
  <si>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</si>
  <si>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</si>
  <si>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</si>
  <si>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</si>
  <si>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</si>
  <si>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</si>
  <si>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</si>
  <si>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</si>
  <si>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</si>
  <si>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</si>
  <si>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</si>
  <si>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</si>
  <si>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</si>
  <si>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</si>
  <si>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</si>
  <si>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</si>
  <si>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</si>
  <si>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</si>
  <si>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</si>
  <si>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</si>
  <si>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</si>
  <si>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</si>
  <si>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</si>
  <si>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</si>
  <si>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</si>
  <si>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</si>
  <si>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</si>
  <si>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</si>
  <si>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</si>
  <si>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</si>
  <si>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</si>
  <si>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</si>
  <si>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</si>
  <si>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</si>
  <si>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</si>
  <si>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</si>
  <si>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</si>
  <si>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</si>
  <si>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</si>
  <si>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</si>
  <si>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</si>
  <si>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</si>
  <si>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</si>
  <si>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</si>
  <si>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</si>
  <si>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</si>
  <si>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</si>
  <si>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</si>
  <si>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</si>
  <si>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</si>
  <si>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</si>
  <si>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</si>
  <si>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</si>
  <si>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</si>
  <si>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</si>
  <si>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</si>
  <si>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</si>
  <si>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</si>
  <si>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</si>
  <si>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</si>
  <si>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</si>
  <si>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</si>
  <si>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</si>
  <si>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</si>
  <si>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</si>
  <si>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</si>
  <si>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</si>
  <si>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</si>
  <si>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</si>
  <si>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</si>
  <si>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</si>
  <si>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</si>
  <si>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</si>
  <si>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</si>
  <si>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</si>
  <si>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</si>
  <si>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</si>
  <si>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</si>
  <si>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</si>
  <si>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</si>
  <si>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</si>
  <si>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</si>
  <si>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</si>
  <si>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</si>
  <si>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</si>
  <si>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</si>
  <si>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</si>
  <si>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</si>
  <si>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</si>
  <si>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</si>
  <si>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</si>
  <si>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</si>
  <si>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</si>
  <si>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</si>
  <si>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</si>
  <si>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</si>
  <si>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</si>
  <si>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</si>
  <si>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</si>
  <si>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</si>
  <si>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</si>
  <si>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</si>
  <si>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</si>
  <si>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</si>
  <si>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</si>
  <si>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</si>
  <si>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</si>
  <si>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</si>
  <si>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</si>
  <si>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</si>
  <si>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</si>
  <si>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</si>
  <si>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</si>
  <si>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</si>
  <si>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</si>
  <si>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</si>
  <si>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</si>
  <si>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</si>
  <si>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</si>
  <si>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</si>
  <si>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</si>
  <si>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</si>
  <si>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</si>
  <si>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</si>
  <si>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</si>
  <si>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</si>
  <si>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</si>
  <si>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</si>
  <si>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</si>
  <si>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</si>
  <si>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</si>
  <si>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</si>
  <si>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</si>
  <si>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</si>
  <si>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</si>
  <si>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</si>
  <si>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</si>
  <si>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</si>
  <si>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</si>
  <si>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</si>
  <si>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</si>
  <si>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</si>
  <si>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</si>
  <si>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</si>
  <si>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</si>
  <si>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</si>
  <si>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</si>
  <si>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</si>
  <si>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</si>
  <si>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</si>
  <si>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</si>
  <si>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</si>
  <si>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</si>
  <si>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</si>
  <si>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</si>
  <si>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</si>
  <si>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</si>
  <si>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</si>
  <si>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</si>
  <si>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</si>
  <si>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</si>
  <si>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</si>
  <si>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</si>
  <si>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</si>
  <si>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</si>
  <si>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</si>
  <si>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</si>
  <si>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</si>
  <si>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</si>
  <si>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</si>
  <si>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</si>
  <si>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</si>
  <si>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</si>
  <si>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</si>
  <si>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</si>
  <si>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</si>
  <si>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</si>
  <si>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</si>
  <si>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</si>
  <si>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</si>
  <si>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</si>
  <si>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</si>
  <si>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</si>
  <si>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</si>
  <si>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</si>
  <si>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</si>
  <si>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</si>
  <si>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</si>
  <si>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</si>
  <si>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</si>
  <si>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</si>
  <si>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</si>
  <si>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</si>
  <si>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</si>
  <si>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</si>
  <si>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</si>
  <si>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</si>
  <si>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</si>
  <si>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</si>
  <si>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</si>
  <si>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</si>
  <si>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</si>
  <si>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</si>
  <si>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</si>
  <si>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</si>
  <si>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</si>
  <si>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</si>
  <si>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</si>
  <si>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</si>
  <si>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</si>
  <si>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</si>
  <si>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</si>
  <si>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</si>
  <si>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</si>
  <si>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</si>
  <si>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</si>
  <si>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</si>
  <si>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</si>
  <si>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</si>
  <si>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</si>
  <si>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</si>
  <si>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</si>
  <si>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</si>
  <si>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</si>
  <si>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</si>
  <si>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</si>
  <si>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</si>
  <si>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</si>
  <si>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</si>
  <si>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</si>
  <si>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</si>
  <si>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</si>
  <si>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</si>
  <si>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</si>
  <si>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</si>
  <si>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</si>
  <si>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</si>
  <si>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</si>
  <si>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</si>
  <si>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</si>
  <si>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</si>
  <si>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</si>
  <si>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</si>
  <si>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</si>
  <si>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</si>
  <si>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</si>
  <si>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</si>
  <si>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</si>
  <si>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</si>
  <si>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</si>
  <si>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</si>
  <si>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</si>
  <si>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</si>
  <si>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</si>
  <si>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</si>
  <si>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</si>
  <si>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</si>
  <si>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</si>
  <si>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</si>
  <si>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</si>
  <si>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</si>
  <si>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</si>
  <si>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</si>
  <si>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</si>
  <si>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</si>
  <si>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</si>
  <si>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</si>
  <si>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</si>
  <si>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</si>
  <si>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</si>
  <si>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</si>
  <si>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</si>
  <si>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</si>
  <si>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</si>
  <si>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</si>
  <si>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</si>
  <si>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</si>
  <si>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</si>
  <si>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</si>
  <si>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</si>
  <si>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</si>
  <si>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</si>
  <si>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</si>
  <si>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</si>
  <si>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</si>
  <si>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</si>
  <si>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</si>
  <si>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</si>
  <si>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</si>
  <si>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</si>
  <si>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</si>
  <si>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</si>
  <si>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</si>
  <si>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</si>
  <si>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</si>
  <si>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</si>
  <si>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</si>
  <si>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</si>
  <si>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</si>
  <si>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</si>
  <si>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</si>
  <si>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</si>
  <si>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</si>
  <si>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</si>
  <si>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</si>
  <si>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</si>
  <si>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</si>
  <si>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</si>
  <si>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</si>
  <si>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</si>
  <si>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</si>
  <si>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</si>
  <si>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</si>
  <si>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</si>
  <si>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</si>
  <si>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</si>
  <si>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</si>
  <si>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</si>
  <si>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</si>
  <si>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</si>
  <si>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</si>
  <si>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</si>
  <si>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</si>
  <si>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</si>
  <si>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</si>
  <si>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</si>
  <si>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</si>
  <si>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</si>
  <si>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</si>
  <si>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</si>
  <si>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</si>
  <si>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</si>
  <si>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</si>
  <si>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</si>
  <si>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</si>
  <si>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</si>
  <si>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</si>
  <si>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</si>
  <si>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</si>
  <si>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</si>
  <si>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</si>
  <si>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</si>
  <si>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</si>
  <si>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</si>
  <si>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</si>
  <si>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</si>
  <si>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</si>
  <si>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</si>
  <si>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</si>
  <si>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</si>
  <si>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</si>
  <si>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</si>
  <si>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</si>
  <si>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</si>
  <si>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</si>
  <si>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</si>
  <si>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</si>
  <si>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</si>
  <si>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</si>
  <si>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</si>
  <si>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</si>
  <si>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</si>
  <si>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</si>
  <si>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</si>
  <si>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</si>
  <si>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</si>
  <si>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</si>
  <si>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</si>
  <si>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</si>
  <si>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</si>
  <si>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</si>
  <si>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</si>
  <si>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</si>
  <si>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</si>
  <si>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</si>
  <si>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</si>
  <si>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</si>
  <si>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</si>
  <si>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</si>
  <si>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</si>
  <si>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</si>
  <si>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</si>
  <si>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</si>
  <si>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</si>
  <si>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</si>
  <si>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</si>
  <si>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</si>
  <si>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</si>
  <si>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</si>
  <si>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</si>
  <si>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</si>
  <si>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</si>
  <si>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</si>
  <si>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</si>
  <si>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</si>
  <si>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</si>
  <si>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</si>
  <si>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</si>
  <si>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</si>
  <si>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</si>
  <si>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</si>
  <si>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</si>
  <si>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</si>
  <si>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</si>
  <si>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</si>
  <si>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</si>
  <si>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</si>
  <si>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</si>
  <si>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</si>
  <si>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</si>
  <si>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</si>
  <si>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</si>
  <si>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</si>
  <si>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</si>
  <si>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</si>
  <si>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</si>
  <si>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</si>
  <si>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</si>
  <si>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</si>
  <si>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</si>
  <si>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</si>
  <si>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</si>
  <si>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</si>
  <si>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</si>
  <si>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</si>
  <si>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</si>
  <si>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</si>
  <si>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</si>
  <si>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</si>
  <si>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</si>
  <si>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</si>
  <si>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</si>
  <si>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</si>
  <si>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</si>
  <si>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</si>
  <si>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</si>
  <si>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</si>
  <si>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</si>
  <si>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</si>
  <si>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</si>
  <si>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</si>
  <si>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</si>
  <si>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</si>
  <si>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</si>
  <si>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</si>
  <si>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</si>
  <si>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</si>
  <si>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</si>
  <si>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</si>
  <si>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</si>
  <si>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</si>
  <si>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</si>
  <si>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</si>
  <si>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</si>
  <si>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</si>
  <si>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</si>
  <si>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</si>
  <si>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</si>
  <si>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</si>
  <si>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</si>
  <si>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</si>
  <si>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</si>
  <si>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</si>
  <si>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</si>
  <si>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</si>
  <si>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</si>
  <si>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</si>
  <si>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</si>
  <si>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</si>
  <si>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</si>
  <si>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</si>
  <si>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</si>
  <si>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</si>
  <si>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</si>
  <si>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</si>
  <si>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</si>
  <si>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</si>
  <si>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</si>
  <si>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</si>
  <si>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</si>
  <si>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</si>
  <si>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</si>
  <si>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</si>
  <si>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</si>
  <si>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</si>
  <si>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</si>
  <si>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</si>
  <si>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</si>
  <si>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</si>
  <si>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</si>
  <si>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</si>
  <si>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</si>
  <si>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</si>
  <si>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</si>
  <si>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</si>
  <si>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</si>
  <si>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</si>
  <si>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</si>
  <si>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</si>
  <si>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</si>
  <si>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</si>
  <si>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</si>
  <si>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</si>
  <si>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</si>
  <si>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</si>
  <si>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</si>
  <si>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</si>
  <si>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</si>
  <si>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</si>
  <si>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</si>
  <si>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</si>
  <si>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</si>
  <si>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100% хлопок</t>
  </si>
  <si>
    <t>grey</t>
  </si>
  <si>
    <t>ONE</t>
  </si>
  <si>
    <t>100% полиэстер</t>
  </si>
  <si>
    <t>100% акрил</t>
  </si>
  <si>
    <t>56 S/M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</si>
  <si>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</si>
  <si>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</si>
  <si>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</si>
  <si>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</si>
  <si>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</si>
  <si>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</si>
  <si>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</si>
  <si>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</si>
  <si>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</si>
  <si>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</si>
  <si>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</si>
  <si>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</si>
  <si>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</si>
  <si>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</si>
  <si>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</si>
  <si>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</si>
  <si>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</si>
  <si>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</si>
  <si>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</si>
  <si>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</si>
  <si>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</si>
  <si>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</si>
  <si>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</si>
  <si>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</si>
  <si>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</si>
  <si>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</si>
  <si>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navy</t>
  </si>
  <si>
    <t>black</t>
  </si>
  <si>
    <t>white</t>
  </si>
  <si>
    <t>beige</t>
  </si>
  <si>
    <t>red</t>
  </si>
  <si>
    <t>blue</t>
  </si>
  <si>
    <t>mint</t>
  </si>
  <si>
    <t>green</t>
  </si>
  <si>
    <t>TOQUILLA PALM</t>
  </si>
  <si>
    <t>солома Токилла</t>
  </si>
  <si>
    <t>PAPER</t>
  </si>
  <si>
    <t>60 L/XL</t>
  </si>
  <si>
    <t>light blue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</si>
  <si>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</si>
  <si>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</si>
  <si>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</si>
  <si>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</si>
  <si>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</si>
  <si>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</si>
  <si>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</si>
  <si>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</si>
  <si>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</si>
  <si>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65% полиэстер - 35% хлопок</t>
  </si>
  <si>
    <t>Sky Blue</t>
  </si>
  <si>
    <t>camo</t>
  </si>
  <si>
    <t>blk</t>
  </si>
  <si>
    <t>moss</t>
  </si>
  <si>
    <t>gry</t>
  </si>
  <si>
    <t>mar</t>
  </si>
  <si>
    <t>Mineral</t>
  </si>
  <si>
    <t>60% полиэстер - 40% шерсть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</si>
  <si>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</si>
  <si>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</si>
  <si>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</si>
  <si>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</si>
  <si>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</si>
  <si>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</si>
  <si>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</si>
  <si>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</si>
  <si>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</si>
  <si>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</si>
  <si>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</si>
  <si>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</si>
  <si>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</si>
  <si>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06-001-09-00</t>
  </si>
  <si>
    <t>Бейсболка AMERICAN NEEDLE арт. 36670A-CALI California New Raglan (черный) {blk}</t>
  </si>
  <si>
    <t>36670A-CALI California New Raglan</t>
  </si>
  <si>
    <t>AMERICAN NEEDLE-State</t>
  </si>
  <si>
    <t>American Needle, Inc; 1275 Busch Parkway, Buffalo Grove, IL 60089, USA</t>
  </si>
  <si>
    <t>06-001-06-00</t>
  </si>
  <si>
    <t>Бейсболка AMERICAN NEEDLE арт. 36670A-CALI California (синий) {dero}</t>
  </si>
  <si>
    <t>dero</t>
  </si>
  <si>
    <t>06-002-09-00</t>
  </si>
  <si>
    <t>Бейсболка AMERICAN NEEDLE арт. 36670A-NASA Space with NASA New Raglan (черный) {blk}</t>
  </si>
  <si>
    <t>36670A-NASA Space with NASA New Raglan</t>
  </si>
  <si>
    <t>Space</t>
  </si>
  <si>
    <t>06-003-16-00</t>
  </si>
  <si>
    <t>Бейсболка AMERICAN NEEDLE арт. 36670A-NY New York New Raglan (темно-синий) {navy}</t>
  </si>
  <si>
    <t>36670A-NY New York New Raglan</t>
  </si>
  <si>
    <t>06-004-06-00</t>
  </si>
  <si>
    <t>Бейсболка AMERICAN NEEDLE арт. 36670A-TX Texas New Raglan (синий) {dero}</t>
  </si>
  <si>
    <t>36670A-TX Texas New Raglan</t>
  </si>
  <si>
    <t>State</t>
  </si>
  <si>
    <t>06-005-16-00</t>
  </si>
  <si>
    <t>Бейсболка AMERICAN NEEDLE арт. 36672A-NAP Nashville Predators New Raglan NHL (темно-синий) {navy}</t>
  </si>
  <si>
    <t>36672A-NAP Nashville Predators New Raglan NHL</t>
  </si>
  <si>
    <t>Sport</t>
  </si>
  <si>
    <t>06-006-72-00</t>
  </si>
  <si>
    <t>Бейсболка AMERICAN NEEDLE арт. 400A1V-CBH Chicago Blackhawks 400 Series NHL (черный / красный) {blrd}</t>
  </si>
  <si>
    <t>400A1V-CBH Chicago Blackhawks 400 Series NHL</t>
  </si>
  <si>
    <t>80% акрил - 20% шерсть</t>
  </si>
  <si>
    <t>blrd</t>
  </si>
  <si>
    <t>06-007-76-00</t>
  </si>
  <si>
    <t>Бейсболка AMERICAN NEEDLE арт. 400A1V-CFL Calgary Flames 400 Series NHL (красный / желтый) {rdgd}</t>
  </si>
  <si>
    <t>400A1V-CFL Calgary Flames 400 Series NHL</t>
  </si>
  <si>
    <t>AMERICAN NEEDLE-Sport</t>
  </si>
  <si>
    <t>rdgd</t>
  </si>
  <si>
    <t>06-008-09-00</t>
  </si>
  <si>
    <t>Бейсболка AMERICAN NEEDLE арт. 400A1V-CXG Cuban X-Giants 400 Series MILB (черный / фиолетовый) {bkpu}</t>
  </si>
  <si>
    <t>400A1V-CXG Cuban X-Giants 400 Series MILB</t>
  </si>
  <si>
    <t>bkpu</t>
  </si>
  <si>
    <t>06-009-18-00</t>
  </si>
  <si>
    <t>Бейсболка AMERICAN NEEDLE арт. 400A1V-DRW Detroit Red Wings 400 Series NHL (красный) {red}</t>
  </si>
  <si>
    <t>400A1V-DRW Detroit Red Wings 400 Series NHL</t>
  </si>
  <si>
    <t>06-010-11-00</t>
  </si>
  <si>
    <t>Бейсболка AMERICAN NEEDLE арт. 400A1V-HAI Hawaii Islanders 400 Series MILB (зеленый) {kgrn}</t>
  </si>
  <si>
    <t>400A1V-HAI Hawaii Islanders 400 Series MILB</t>
  </si>
  <si>
    <t>kgrn</t>
  </si>
  <si>
    <t>06-011-08-00</t>
  </si>
  <si>
    <t>Бейсболка AMERICAN NEEDLE арт. 400A1V-HOS Hollywood Stars 400 Series MILB (серый / красный) {gyrd}</t>
  </si>
  <si>
    <t>400A1V-HOS Hollywood Stars 400 Series MILB</t>
  </si>
  <si>
    <t>gyrd</t>
  </si>
  <si>
    <t>06-012-10-00</t>
  </si>
  <si>
    <t>Бейсболка AMERICAN NEEDLE арт. 400A1V-LAK Los Angeles Kings 400 Series NHL (черный / серый) {bllg}</t>
  </si>
  <si>
    <t>400A1V-LAK Los Angeles Kings 400 Series NHL</t>
  </si>
  <si>
    <t>bllg</t>
  </si>
  <si>
    <t>06-013-06-00</t>
  </si>
  <si>
    <t>Бейсболка AMERICAN NEEDLE арт. 400A1V-LOS Los Angeles Angels 400 Series MILB (синий) {roy}</t>
  </si>
  <si>
    <t>400A1V-LOS Los Angeles Angels 400 Series MILB</t>
  </si>
  <si>
    <t>roy</t>
  </si>
  <si>
    <t>06-014-21-00</t>
  </si>
  <si>
    <t>Бейсболка AMERICAN NEEDLE арт. 400A1V-MOC Montreal Canadiens 400 Series NHL (синий / красный) {nvrd}</t>
  </si>
  <si>
    <t>400A1V-MOC Montreal Canadiens 400 Series NHL</t>
  </si>
  <si>
    <t>nvrd</t>
  </si>
  <si>
    <t>06-015-06-00</t>
  </si>
  <si>
    <t>Бейсболка AMERICAN NEEDLE арт. 400A1V-NYR New York Rangers 400 Series NHL (синий) {roy}</t>
  </si>
  <si>
    <t>400A1V-NYR New York Rangers 400 Series NHL</t>
  </si>
  <si>
    <t>06-016-09-00</t>
  </si>
  <si>
    <t>Бейсболка AMERICAN NEEDLE арт. 400A1V-PCO Arizona Coyotes 400 Series NHL (черный / бордовый) {bkca}</t>
  </si>
  <si>
    <t>400A1V-PCO Arizona Coyotes 400 Series NHL</t>
  </si>
  <si>
    <t>bkca</t>
  </si>
  <si>
    <t>06-017-09-00</t>
  </si>
  <si>
    <t>Бейсболка AMERICAN NEEDLE арт. 400A1V-PHF Philadelphia Flyers 400 Series NHL (черный / оранжевый) {blor}</t>
  </si>
  <si>
    <t>400A1V-PHF Philadelphia Flyers 400 Series NHL</t>
  </si>
  <si>
    <t>blor</t>
  </si>
  <si>
    <t>06-018-06-00</t>
  </si>
  <si>
    <t>Бейсболка AMERICAN NEEDLE арт. 400A1V-TML Toronto Maple Leafs 400 Series NHL (синий) {roy}</t>
  </si>
  <si>
    <t>400A1V-TML Toronto Maple Leafs 400 Series NHL</t>
  </si>
  <si>
    <t>06-019-18-00</t>
  </si>
  <si>
    <t>Бейсболка AMERICAN NEEDLE арт. 400A1V-WAC Washington Capitals 400 Series NHL (красный / синий) {rdry}</t>
  </si>
  <si>
    <t>400A1V-WAC Washington Capitals 400 Series NHL</t>
  </si>
  <si>
    <t>rdry</t>
  </si>
  <si>
    <t>06-020-72-00</t>
  </si>
  <si>
    <t>Бейсболка AMERICAN NEEDLE арт. 400A2V-CBH Chicago Blackhawks 400 Series NHL (красный / черный) {rdbl}</t>
  </si>
  <si>
    <t>400A2V-CBH Chicago Blackhawks 400 Series NHL</t>
  </si>
  <si>
    <t>rdbl</t>
  </si>
  <si>
    <t>06-021-09-00</t>
  </si>
  <si>
    <t>Бейсболка AMERICAN NEEDLE арт. 400A2V-LAK Los Angeles Kings 400 Series NHL (черный) {blk}</t>
  </si>
  <si>
    <t>400A2V-LAK Los Angeles Kings 400 Series NHL</t>
  </si>
  <si>
    <t>06-022-09-00</t>
  </si>
  <si>
    <t>Бейсболка AMERICAN NEEDLE арт. 400A2V-NYI New York Islanders 400 Series NHL (черный) {blk}</t>
  </si>
  <si>
    <t>400A2V-NYI New York Islanders 400 Series NHL</t>
  </si>
  <si>
    <t>06-023-21-00</t>
  </si>
  <si>
    <t>Бейсболка AMERICAN NEEDLE арт. 400A2V-NYR New York Rangers 400 Series NHL (синий / красный) {nvrd}</t>
  </si>
  <si>
    <t>400A2V-NYR New York Rangers 400 Series NHL</t>
  </si>
  <si>
    <t>06-024-19-00</t>
  </si>
  <si>
    <t>Бейсболка AMERICAN NEEDLE арт. 400A4V-CBH Chicago Blackhawks 400 Series NHL (голубой / красный) {lbdr}</t>
  </si>
  <si>
    <t>400A4V-CBH Chicago Blackhawks 400 Series NHL</t>
  </si>
  <si>
    <t>lbdr</t>
  </si>
  <si>
    <t>06-025-09-00</t>
  </si>
  <si>
    <t>Бейсболка AMERICAN NEEDLE арт. 40742A-AMD Anaheim Ducks Blue Line NHL (черный) {blk}</t>
  </si>
  <si>
    <t>40742A-AMD Anaheim Ducks Blue Line NHL</t>
  </si>
  <si>
    <t>06-026-16-00</t>
  </si>
  <si>
    <t>Бейсболка AMERICAN NEEDLE арт. 40742A-CBJ Columbus Blue Jackets Blue Line NHL (темно-синий) {navy}</t>
  </si>
  <si>
    <t>40742A-CBJ Columbus Blue Jackets Blue Line NHL</t>
  </si>
  <si>
    <t>06-027-18-00</t>
  </si>
  <si>
    <t>Бейсболка AMERICAN NEEDLE арт. 40742A-DRW Detroit Red Wings Blue Line NHL (красный) {red}</t>
  </si>
  <si>
    <t>40742A-DRW Detroit Red Wings Blue Line NHL</t>
  </si>
  <si>
    <t>06-028-11-00</t>
  </si>
  <si>
    <t>Бейсболка AMERICAN NEEDLE арт. 40742A-MNN Minnesota North Stars Blue Line NHL (зеленый) {kelg}</t>
  </si>
  <si>
    <t>40742A-MNN Minnesota North Stars Blue Line NHL</t>
  </si>
  <si>
    <t>kelg</t>
  </si>
  <si>
    <t>06-029-16-00</t>
  </si>
  <si>
    <t>Бейсболка AMERICAN NEEDLE арт. 40742A-MOC Montreal Canadiens Blue Line NHL (темно-синий) {navy}</t>
  </si>
  <si>
    <t>40742A-MOC Montreal Canadiens Blue Line NHL</t>
  </si>
  <si>
    <t>06-030-16-00</t>
  </si>
  <si>
    <t>Бейсболка AMERICAN NEEDLE арт. 40742A-NAP Nashville Predators Blue Line NHL (темно-синий) {navy}</t>
  </si>
  <si>
    <t>40742A-NAP Nashville Predators Blue Line NHL</t>
  </si>
  <si>
    <t>06-031-18-00</t>
  </si>
  <si>
    <t>Бейсболка AMERICAN NEEDLE арт. 40742A-OTS Ottawa Senators Blue Line NHL (красный) {red}</t>
  </si>
  <si>
    <t>40742A-OTS Ottawa Senators Blue Line NHL</t>
  </si>
  <si>
    <t>06-032-13-00</t>
  </si>
  <si>
    <t>Бейсболка AMERICAN NEEDLE арт. 40742A-PCO Arizona Coyotes Blue Line NHL (рыжий) {card}</t>
  </si>
  <si>
    <t>40742A-PCO Arizona Coyotes Blue Line NHL</t>
  </si>
  <si>
    <t>card</t>
  </si>
  <si>
    <t>06-033-09-00</t>
  </si>
  <si>
    <t>Бейсболка AMERICAN NEEDLE арт. 40742A-SEK Seattle Kraken Blue Line NHL (черный) {blk}</t>
  </si>
  <si>
    <t>40742A-SEK Seattle Kraken Blue Line NHL</t>
  </si>
  <si>
    <t>06-033-16-00</t>
  </si>
  <si>
    <t>Бейсболка AMERICAN NEEDLE арт. 40742A-SEK Seattle Kraken Blue Line NHL (темно-синий) {navy}</t>
  </si>
  <si>
    <t>06-033-17-00</t>
  </si>
  <si>
    <t>Бейсболка AMERICAN NEEDLE арт. 40742A-SEK Seattle Kraken Blue Line NHL (белый) {snow}</t>
  </si>
  <si>
    <t>snow</t>
  </si>
  <si>
    <t>06-034-09-00</t>
  </si>
  <si>
    <t>Бейсболка AMERICAN NEEDLE арт. 40742A-SJS San Jose Sharks Blue Line NHL (черный) {blk}</t>
  </si>
  <si>
    <t>40742A-SJS San Jose Sharks Blue Line NHL</t>
  </si>
  <si>
    <t>06-035-06-00</t>
  </si>
  <si>
    <t>Бейсболка AMERICAN NEEDLE арт. 40742A-VAC Vancouver Canucks Blue Line NHL (синий) {roy}</t>
  </si>
  <si>
    <t>40742A-VAC Vancouver Canucks Blue Line NHL</t>
  </si>
  <si>
    <t>06-036-09-00</t>
  </si>
  <si>
    <t>Бейсболка AMERICAN NEEDLE арт. 40742A-VGK Vegas Golden Knights Blue Line NHL (черный) {blk}</t>
  </si>
  <si>
    <t>40742A-VGK Vegas Golden Knights Blue Line NHL</t>
  </si>
  <si>
    <t>06-037-18-00</t>
  </si>
  <si>
    <t>Бейсболка AMERICAN NEEDLE арт. 40742A-WAC Washington Capitals Blue Line NHL (красный) {red}</t>
  </si>
  <si>
    <t>40742A-WAC Washington Capitals Blue Line NHL</t>
  </si>
  <si>
    <t>06-038-16-00</t>
  </si>
  <si>
    <t>Бейсболка AMERICAN NEEDLE арт. 40742A-WPJ Winnipeg Jets Blue Line NHL (темно-синий) {navy}</t>
  </si>
  <si>
    <t>40742A-WPJ Winnipeg Jets Blue Line NHL</t>
  </si>
  <si>
    <t>06-039-09-00</t>
  </si>
  <si>
    <t>Бейсболка AMERICAN NEEDLE арт. 40742B-CAH Carolina Hurricanes Blue Line NHL (черный) {blk}</t>
  </si>
  <si>
    <t>40742B-CAH Carolina Hurricanes Blue Line NHL</t>
  </si>
  <si>
    <t>06-040-16-00</t>
  </si>
  <si>
    <t>Бейсболка AMERICAN NEEDLE арт. 40742B-FLP Carolina Panthers Blue Line NHL (темно-синий) {navy}</t>
  </si>
  <si>
    <t>40742B-FLP Carolina Panthers Blue Line NHL</t>
  </si>
  <si>
    <t>06-041-09-00</t>
  </si>
  <si>
    <t>Бейсболка AMERICAN NEEDLE арт. 40742B-PHF Philadelphia Flyers Blue Line NHL (черный) {blk}</t>
  </si>
  <si>
    <t>40742B-PHF Philadelphia Flyers Blue Line NHL</t>
  </si>
  <si>
    <t>06-042-09-00</t>
  </si>
  <si>
    <t>Бейсболка AMERICAN NEEDLE арт. 40742B-PPN Pittsburgh Penguins Blue Line NHL (черный) {blk}</t>
  </si>
  <si>
    <t>40742B-PPN Pittsburgh Penguins Blue Line NHL</t>
  </si>
  <si>
    <t>06-043-16-00</t>
  </si>
  <si>
    <t>Бейсболка AMERICAN NEEDLE арт. 40742B-SEK Seattle Kraken Blue Line NHL (темно-синий) {navy}</t>
  </si>
  <si>
    <t>40742B-SEK Seattle Kraken Blue Line NHL</t>
  </si>
  <si>
    <t>06-044-06-00</t>
  </si>
  <si>
    <t>Бейсболка AMERICAN NEEDLE арт. 40742B-TML Toronto Maple Leafs Blue Line NHL (синий) {roy}</t>
  </si>
  <si>
    <t>40742B-TML Toronto Maple Leafs Blue Line NHL</t>
  </si>
  <si>
    <t>06-045-16-00</t>
  </si>
  <si>
    <t>Бейсболка AMERICAN NEEDLE арт. 41150A-NASA Space with NASA (темно-синий) {navy}</t>
  </si>
  <si>
    <t>41150A-NASA Space with NASA</t>
  </si>
  <si>
    <t>50% хлопок - 50% полиэстер</t>
  </si>
  <si>
    <t>06-046-09-00</t>
  </si>
  <si>
    <t>Бейсболка AMERICAN NEEDLE арт. 41150B-NASA Mars with NASA (черный) {blk}</t>
  </si>
  <si>
    <t>41150B-NASA Mars with NASA</t>
  </si>
  <si>
    <t>06-047-16-00</t>
  </si>
  <si>
    <t>Бейсболка AMERICAN NEEDLE арт. 41152A-NAP Nashville Predators Raglan Bones NHL (темно-синий) {navy}</t>
  </si>
  <si>
    <t>41152A-NAP Nashville Predators Raglan Bones NHL</t>
  </si>
  <si>
    <t>100% хлопок / сетка 100% полиэстер</t>
  </si>
  <si>
    <t>06-048-16-00</t>
  </si>
  <si>
    <t>Бейсболка AMERICAN NEEDLE арт. 41152A-SEK Seattle Kraken Raglan Bones NHL (темно-синий) {navy}</t>
  </si>
  <si>
    <t>41152A-SEK Seattle Kraken Raglan Bones NHL</t>
  </si>
  <si>
    <t>06-049-09-00</t>
  </si>
  <si>
    <t>Бейсболка AMERICAN NEEDLE арт. 41152A-VGK Vegas Golden Knights Raglan Bones NHL (черный) {blk}</t>
  </si>
  <si>
    <t>41152A-VGK Vegas Golden Knights Raglan Bones NHL</t>
  </si>
  <si>
    <t>06-050-09-00</t>
  </si>
  <si>
    <t>Шапка AMERICAN NEEDLE арт. 42050A-MTFU Fuji Mountain National Park Pillow (черный) {nit}</t>
  </si>
  <si>
    <t>42050A-MTFU Fuji Mountain National Park Pillow</t>
  </si>
  <si>
    <t>nit</t>
  </si>
  <si>
    <t>06-051-16-00</t>
  </si>
  <si>
    <t>Шапка AMERICAN NEEDLE арт. 42050A-YNP Yellowstone National Park Pillow (темно-синий) {niog}</t>
  </si>
  <si>
    <t>42050A-YNP Yellowstone National Park Pillow</t>
  </si>
  <si>
    <t>niog</t>
  </si>
  <si>
    <t>06-052-09-00</t>
  </si>
  <si>
    <t>Бейсболка AMERICAN NEEDLE арт. 42760A-CALI California (черный) {blk}</t>
  </si>
  <si>
    <t>42760A-CALI California</t>
  </si>
  <si>
    <t>06-052-86-00</t>
  </si>
  <si>
    <t>Бейсболка AMERICAN NEEDLE арт. 42760A-CALI California (светло-розовый) {cpnk}</t>
  </si>
  <si>
    <t>cpnk</t>
  </si>
  <si>
    <t>06-052-08-00</t>
  </si>
  <si>
    <t>Бейсболка AMERICAN NEEDLE арт. 42760A-CALI California (серый) {gry}</t>
  </si>
  <si>
    <t>06-052-19-00</t>
  </si>
  <si>
    <t>Бейсболка AMERICAN NEEDLE арт. 42760A-CALI California (голубой) {lblu}</t>
  </si>
  <si>
    <t>lblu</t>
  </si>
  <si>
    <t>06-052-05-00</t>
  </si>
  <si>
    <t>Бейсболка AMERICAN NEEDLE арт. 42760A-CALI California (темно-серый) {moss}</t>
  </si>
  <si>
    <t>06-052-16-00</t>
  </si>
  <si>
    <t>Бейсболка AMERICAN NEEDLE арт. 42760A-CALI California (темно-синий) {navy}</t>
  </si>
  <si>
    <t>06-052-17-00</t>
  </si>
  <si>
    <t>Бейсболка AMERICAN NEEDLE арт. 42760A-CALI California (белый) {snow}</t>
  </si>
  <si>
    <t>06-053-48-00</t>
  </si>
  <si>
    <t>Шапка AMERICAN NEEDLE арт. 42810A-CALI California (черный / белый) {blir}</t>
  </si>
  <si>
    <t>42810A-CALI California</t>
  </si>
  <si>
    <t>blir</t>
  </si>
  <si>
    <t>06-054-09-00</t>
  </si>
  <si>
    <t>Бейсболка AMERICAN NEEDLE арт. 42960A-CALI California Valin (черный) {blk}</t>
  </si>
  <si>
    <t>42960A-CALI California Valin</t>
  </si>
  <si>
    <t>06-055-09-00</t>
  </si>
  <si>
    <t>Бейсболка AMERICAN NEEDLE арт. 42960A-LOSA Los Angeles Valin (черный) {blk}</t>
  </si>
  <si>
    <t>42960A-LOSA Los Angeles Valin</t>
  </si>
  <si>
    <t>06-056-16-00</t>
  </si>
  <si>
    <t>Бейсболка AMERICAN NEEDLE арт. 42960A-NY New York Valin (темно-синий) {navy}</t>
  </si>
  <si>
    <t>42960A-NY New York Valin</t>
  </si>
  <si>
    <t>06-057-09-00</t>
  </si>
  <si>
    <t>Бейсболка AMERICAN NEEDLE арт. 42960B-CALI California Valin (черный) {iblk}</t>
  </si>
  <si>
    <t>42960B-CALI California Valin</t>
  </si>
  <si>
    <t>iblk</t>
  </si>
  <si>
    <t>06-058-20-00</t>
  </si>
  <si>
    <t>Бейсболка AMERICAN NEEDLE арт. 43020A-HAWA Hawaii Ballpark (желтый) {bsun}</t>
  </si>
  <si>
    <t>43020A-HAWA Hawaii Ballpark</t>
  </si>
  <si>
    <t>bsun</t>
  </si>
  <si>
    <t>06-059-09-00</t>
  </si>
  <si>
    <t>Бейсболка AMERICAN NEEDLE арт. 43020A-NASA Mars with NASA Ballpark (черный) {blk}</t>
  </si>
  <si>
    <t>43020A-NASA Mars with NASA Ballpark</t>
  </si>
  <si>
    <t>AMERICAN NEEDLE-Space</t>
  </si>
  <si>
    <t>06-060-09-00</t>
  </si>
  <si>
    <t>Бейсболка AMERICAN NEEDLE арт. 43020E-CALI California Ballpark (черный) {blk}</t>
  </si>
  <si>
    <t>43020E-CALI California Ballpark</t>
  </si>
  <si>
    <t>06-061-08-00</t>
  </si>
  <si>
    <t>Бейсболка AMERICAN NEEDLE арт. 43027A-HOS Hollywood Stars Ballpark MILB (серый / красный) {gyrd}</t>
  </si>
  <si>
    <t>43027A-HOS Hollywood Stars Ballpark MILB</t>
  </si>
  <si>
    <t>06-062-16-00</t>
  </si>
  <si>
    <t>Бейсболка AMERICAN NEEDLE арт. 43027A-SAF San Francisco Seals Ballpark MILB (темно-синий) {nvor}</t>
  </si>
  <si>
    <t>43027A-SAF San Francisco Seals Ballpark MILB</t>
  </si>
  <si>
    <t>nvor</t>
  </si>
  <si>
    <t>06-063-18-00</t>
  </si>
  <si>
    <t>Бейсболка AMERICAN NEEDLE арт. 43027A-SER Seattle Rainiers Ballpark MILB (красный) {rdwh}</t>
  </si>
  <si>
    <t>43027A-SER Seattle Rainiers Ballpark MILB</t>
  </si>
  <si>
    <t>rdwh</t>
  </si>
  <si>
    <t>06-064-36-00</t>
  </si>
  <si>
    <t>Бейсболка AMERICAN NEEDLE арт. 43027A-WHA Chicago Whales Ballpark MILB (кремовый / синий) {stnv}</t>
  </si>
  <si>
    <t>43027A-WHA Chicago Whales Ballpark MILB</t>
  </si>
  <si>
    <t>stnv</t>
  </si>
  <si>
    <t>06-065-16-00</t>
  </si>
  <si>
    <t>Бейсболка AMERICAN NEEDLE арт. 43260A-TX Texas (темно-синий) {navy}</t>
  </si>
  <si>
    <t>43260A-TX Texas</t>
  </si>
  <si>
    <t>06-066-10-00</t>
  </si>
  <si>
    <t>Бейсболка AMERICAN NEEDLE арт. 43350A-NASA Space with NASA (черный / серый) {ibgy}</t>
  </si>
  <si>
    <t>43350A-NASA Space with NASA</t>
  </si>
  <si>
    <t>ibgy</t>
  </si>
  <si>
    <t>06-066-18-00</t>
  </si>
  <si>
    <t>Бейсболка AMERICAN NEEDLE арт. 43350A-NASA Space with NASA (красный / синий) {irn}</t>
  </si>
  <si>
    <t>irn</t>
  </si>
  <si>
    <t>06-067-36-00</t>
  </si>
  <si>
    <t>Бейсболка AMERICAN NEEDLE арт. 43572B-VGK Vegas Golden Knights United NHL (кремовый / черный) {ivbk}</t>
  </si>
  <si>
    <t>43572B-VGK Vegas Golden Knights United NHL</t>
  </si>
  <si>
    <t>ivbk</t>
  </si>
  <si>
    <t>06-068-09-00</t>
  </si>
  <si>
    <t>Бейсболка AMERICAN NEEDLE арт. 43622A-VGK Vegas Golden Knights NHL (черный) {blk}</t>
  </si>
  <si>
    <t>43622A-VGK Vegas Golden Knights NHL</t>
  </si>
  <si>
    <t>06-069-36-00</t>
  </si>
  <si>
    <t>Бейсболка AMERICAN NEEDLE арт. 43710A-MB Malibu Beach (кремовый / оливковый) {pido}</t>
  </si>
  <si>
    <t>43710A-MB Malibu Beach</t>
  </si>
  <si>
    <t>pido</t>
  </si>
  <si>
    <t>06-070-20-00</t>
  </si>
  <si>
    <t>Бейсболка AMERICAN NEEDLE арт. 43732B-NAP Nashville Predators NHL (желтый / синий) {godn}</t>
  </si>
  <si>
    <t>43732B-NAP Nashville Predators NHL</t>
  </si>
  <si>
    <t>godn</t>
  </si>
  <si>
    <t>06-071-34-00</t>
  </si>
  <si>
    <t>Бейсболка AMERICAN NEEDLE арт. 43742A-CBH Chicago Blackhawks NHL (розовый) {cpnk}</t>
  </si>
  <si>
    <t>43742A-CBH Chicago Blackhawks NHL</t>
  </si>
  <si>
    <t>06-071-17-00</t>
  </si>
  <si>
    <t>Бейсболка AMERICAN NEEDLE арт. 43742A-CBH Chicago Blackhawks NHL (белый) {snow}</t>
  </si>
  <si>
    <t>06-072-09-00</t>
  </si>
  <si>
    <t>Бейсболка AMERICAN NEEDLE арт. 43742A-LAK Los Angeles Kings NHL (черный) {blk}</t>
  </si>
  <si>
    <t>43742A-LAK Los Angeles Kings NHL</t>
  </si>
  <si>
    <t>06-072-34-00</t>
  </si>
  <si>
    <t>Бейсболка AMERICAN NEEDLE арт. 43742A-LAK Los Angeles Kings NHL (розовый) {cpnk}</t>
  </si>
  <si>
    <t>06-072-17-00</t>
  </si>
  <si>
    <t>Бейсболка AMERICAN NEEDLE арт. 43742A-LAK Los Angeles Kings NHL (белый) {snow}</t>
  </si>
  <si>
    <t>06-073-34-00</t>
  </si>
  <si>
    <t>Бейсболка AMERICAN NEEDLE арт. 43742A-NYR New York Rangers NHL (розовый) {cpnk}</t>
  </si>
  <si>
    <t>43742A-NYR New York Rangers NHL</t>
  </si>
  <si>
    <t>06-073-17-00</t>
  </si>
  <si>
    <t>Бейсболка AMERICAN NEEDLE арт. 43742A-NYR New York Rangers NHL (белый) {snow}</t>
  </si>
  <si>
    <t>06-074-09-00</t>
  </si>
  <si>
    <t>Бейсболка AMERICAN NEEDLE арт. 43870A-CALI California (черный) {blk}</t>
  </si>
  <si>
    <t>43870A-CALI California</t>
  </si>
  <si>
    <t>06-075-09-00</t>
  </si>
  <si>
    <t>Бейсболка AMERICAN NEEDLE арт. 43870A-NASA Space with NASA (черный) {blk}</t>
  </si>
  <si>
    <t>43870A-NASA Space with NASA</t>
  </si>
  <si>
    <t>06-076-19-00</t>
  </si>
  <si>
    <t>Бейсболка AMERICAN NEEDLE арт. 43880A-MALI Malibu (голубой) {seaf}</t>
  </si>
  <si>
    <t>43880A-MALI Malibu</t>
  </si>
  <si>
    <t>seaf</t>
  </si>
  <si>
    <t>06-077-09-00</t>
  </si>
  <si>
    <t>Бейсболка AMERICAN NEEDLE арт. 43910A-CALI California (черный) {blk}</t>
  </si>
  <si>
    <t>43910A-CALI California</t>
  </si>
  <si>
    <t>06-077-56-00</t>
  </si>
  <si>
    <t>Бейсболка AMERICAN NEEDLE арт. 43910A-CALI California (хаки) {camo}</t>
  </si>
  <si>
    <t>06-078-06-00</t>
  </si>
  <si>
    <t>Бейсболка AMERICAN NEEDLE арт. 43910A-NASA Space with NASA (синий) {navy}</t>
  </si>
  <si>
    <t>43910A-NASA Space with NASA</t>
  </si>
  <si>
    <t>06-079-08-00</t>
  </si>
  <si>
    <t>Бейсболка AMERICAN NEEDLE арт. 43910A-NY New York (серый) {gry}</t>
  </si>
  <si>
    <t>43910A-NY New York</t>
  </si>
  <si>
    <t>06-080-18-00</t>
  </si>
  <si>
    <t>Бейсболка AMERICAN NEEDLE арт. 43910A-TX Texas (красный) {red}</t>
  </si>
  <si>
    <t>43910A-TX Texas</t>
  </si>
  <si>
    <t>06-081-17-00</t>
  </si>
  <si>
    <t>Бейсболка AMERICAN NEEDLE арт. 44500A-NY New York (белый) {wht}</t>
  </si>
  <si>
    <t>44500A-NY New York</t>
  </si>
  <si>
    <t>wht</t>
  </si>
  <si>
    <t>06-082-36-00</t>
  </si>
  <si>
    <t>Бейсболка AMERICAN NEEDLE арт. 44700B-LOSA Los Angeles (кремовый / черный) {ivbk}</t>
  </si>
  <si>
    <t>44700B-LOSA Los Angeles</t>
  </si>
  <si>
    <t>06-083-78-00</t>
  </si>
  <si>
    <t>Бейсболка AMERICAN NEEDLE арт. 44730A-NASA Space with NASA Roughage (синий / черный) {gron}</t>
  </si>
  <si>
    <t>44730A-NASA Space with NASA Roughage</t>
  </si>
  <si>
    <t>gron</t>
  </si>
  <si>
    <t>06-083-72-00</t>
  </si>
  <si>
    <t>Бейсболка AMERICAN NEEDLE арт. 44730A-NASA Space with NASA (черный / красный) {inr}</t>
  </si>
  <si>
    <t>inr</t>
  </si>
  <si>
    <t>06-084-72-00</t>
  </si>
  <si>
    <t>Бейсболка AMERICAN NEEDLE арт. 44740A-ANA Anaheim Aces Archive MILB (черный / красный) {bldr}</t>
  </si>
  <si>
    <t>44740A-ANA Anaheim Aces Archive MILB</t>
  </si>
  <si>
    <t>bldr</t>
  </si>
  <si>
    <t>06-085-16-00</t>
  </si>
  <si>
    <t>Бейсболка AMERICAN NEEDLE арт. 44740A-ASE Austin Senators Archive MILB (темно-синий) {navy}</t>
  </si>
  <si>
    <t>44740A-ASE Austin Senators Archive MILB</t>
  </si>
  <si>
    <t>06-086-11-00</t>
  </si>
  <si>
    <t>Бейсболка AMERICAN NEEDLE арт. 44740A-BSH Boston Shamrocks Archive MILB (зеленый) {dgrn}</t>
  </si>
  <si>
    <t>44740A-BSH Boston Shamrocks Archive MILB</t>
  </si>
  <si>
    <t>dgrn</t>
  </si>
  <si>
    <t>06-087-09-00</t>
  </si>
  <si>
    <t>Бейсболка AMERICAN NEEDLE арт. 44740A-DAU Daiei Unions Archive NLB (черный) {blk}</t>
  </si>
  <si>
    <t>44740A-DAU Daiei Unions Archive NLB</t>
  </si>
  <si>
    <t>06-088-16-00</t>
  </si>
  <si>
    <t>Бейсболка AMERICAN NEEDLE арт. 44740A-HBU Houston Buffalos Archive TLB (темно-синий) {navy}</t>
  </si>
  <si>
    <t>44740A-HBU Houston Buffalos Archive TLB</t>
  </si>
  <si>
    <t>06-089-16-00</t>
  </si>
  <si>
    <t>Бейсболка AMERICAN NEEDLE арт. 44740A-KCK Kansas City Katz Archive MILB (темно-синий) {navy}</t>
  </si>
  <si>
    <t>44740A-KCK Kansas City Katz Archive MILB</t>
  </si>
  <si>
    <t>06-090-09-00</t>
  </si>
  <si>
    <t>Бейсболка AMERICAN NEEDLE арт. 44740A-LAJ Los Angeles Jets Archive ABL (черный) {blk}</t>
  </si>
  <si>
    <t>44740A-LAJ Los Angeles Jets Archive ABL</t>
  </si>
  <si>
    <t>06-091-09-00</t>
  </si>
  <si>
    <t>Бейсболка AMERICAN NEEDLE арт. 44740A-LST Las Vegas Stars Archive MILB (черный) {blk}</t>
  </si>
  <si>
    <t>44740A-LST Las Vegas Stars Archive MILB</t>
  </si>
  <si>
    <t>06-092-16-00</t>
  </si>
  <si>
    <t>Бейсболка AMERICAN NEEDLE арт. 44740A-WHA Chicago Whales Archive MILB (темно-синий) {navb}</t>
  </si>
  <si>
    <t>44740A-WHA Chicago Whales Archive MILB</t>
  </si>
  <si>
    <t>navb</t>
  </si>
  <si>
    <t>06-093-16-00</t>
  </si>
  <si>
    <t>Бейсболка AMERICAN NEEDLE арт. 44742A-NYA New York Americans Archive NHL (темно-синий) {nvdr}</t>
  </si>
  <si>
    <t>44742A-NYA New York Americans Archive NHL</t>
  </si>
  <si>
    <t>nvdr</t>
  </si>
  <si>
    <t>06-094-09-00</t>
  </si>
  <si>
    <t>Бейсболка AMERICAN NEEDLE арт. 44742A-OAS Oakland Seals Archive NHL (черный) {blk}</t>
  </si>
  <si>
    <t>44742A-OAS Oakland Seals Archive NHL</t>
  </si>
  <si>
    <t>06-095-16-00</t>
  </si>
  <si>
    <t>Бейсболка AMERICAN NEEDLE арт. 44747A-CNT Cincinnati Tigers Archive NL (темно-синий) {navy}</t>
  </si>
  <si>
    <t>44747A-CNT Cincinnati Tigers Archive NL</t>
  </si>
  <si>
    <t>06-096-05-00</t>
  </si>
  <si>
    <t>Бейсболка AMERICAN NEEDLE арт. 44747A-MML Minneapolis Millers Archive MILB (темно-серый) {blor}</t>
  </si>
  <si>
    <t>44747A-MML Minneapolis Millers Archive MILB</t>
  </si>
  <si>
    <t>06-097-16-00</t>
  </si>
  <si>
    <t>Бейсболка AMERICAN NEEDLE арт. 44747A-POB Portland Beavers Archive MILB (темно-синий) {navy}</t>
  </si>
  <si>
    <t>44747A-POB Portland Beavers Archive MILB</t>
  </si>
  <si>
    <t>06-098-26-00</t>
  </si>
  <si>
    <t>Бейсболка AMERICAN NEEDLE арт. 44747B-POB Portland Beavers Archive MILB (серый / синий) {gynv}</t>
  </si>
  <si>
    <t>44747B-POB Portland Beavers Archive MILB</t>
  </si>
  <si>
    <t>gynv</t>
  </si>
  <si>
    <t>06-099-18-00</t>
  </si>
  <si>
    <t>Бейсболка AMERICAN NEEDLE арт. 44747B-SER Seattle Rainers Archive MILB (красный) {dki}</t>
  </si>
  <si>
    <t>44747B-SER Seattle Rainers Archive MILB</t>
  </si>
  <si>
    <t>dki</t>
  </si>
  <si>
    <t>06-100-70-00</t>
  </si>
  <si>
    <t>Бейсболка AMERICAN NEEDLE арт. 44810A-CALI California (черный / голубой) {blse}</t>
  </si>
  <si>
    <t>44810A-CALI California</t>
  </si>
  <si>
    <t>blse</t>
  </si>
  <si>
    <t>06-101-16-00</t>
  </si>
  <si>
    <t>Бейсболка AMERICAN NEEDLE арт. 44820A-NASA Space with NASA (темно-синий) {navy}</t>
  </si>
  <si>
    <t>44820A-NASA Space with NASA</t>
  </si>
  <si>
    <t>06-102-17-00</t>
  </si>
  <si>
    <t>Бейсболка AMERICAN NEEDLE арт. 44860A-CALI California (белый) {wht}</t>
  </si>
  <si>
    <t>44860A-CALI California</t>
  </si>
  <si>
    <t>06-103-40-00</t>
  </si>
  <si>
    <t>Бейсболка AMERICAN NEEDLE арт. 44870A-CALI California (черный / розовый) {wbnp}</t>
  </si>
  <si>
    <t>44870A-CALI California</t>
  </si>
  <si>
    <t>wbnp</t>
  </si>
  <si>
    <t>06-104-09-00</t>
  </si>
  <si>
    <t>Бейсболка AMERICAN NEEDLE арт. 44890D-CALI California (черный) {blk}</t>
  </si>
  <si>
    <t>44890D-CALI California</t>
  </si>
  <si>
    <t>06-105-09-00</t>
  </si>
  <si>
    <t>Бейсболка AMERICAN NEEDLE арт. 44900A-CALI California Replay (черный) {blk}</t>
  </si>
  <si>
    <t>44900A-CALI California Replay</t>
  </si>
  <si>
    <t>06-106-17-00</t>
  </si>
  <si>
    <t>Бейсболка AMERICAN NEEDLE арт. 44900B-CALI California Replay (белый) {snow}</t>
  </si>
  <si>
    <t>44900B-CALI California Replay</t>
  </si>
  <si>
    <t>06-107-16-00</t>
  </si>
  <si>
    <t>Бейсболка AMERICAN NEEDLE арт. 44910A-NASA (темно-синий) {navy}</t>
  </si>
  <si>
    <t>44910A-NASA Apollo 50 years</t>
  </si>
  <si>
    <t>06-107-08-00</t>
  </si>
  <si>
    <t>Бейсболка AMERICAN NEEDLE арт. 44910A-NASA Apollo 50 years (серый) {steg}</t>
  </si>
  <si>
    <t>steg</t>
  </si>
  <si>
    <t>06-108-09-00</t>
  </si>
  <si>
    <t>Бейсболка AMERICAN NEEDLE арт. 44940A-NASA Space with NASA (черный) {blk}</t>
  </si>
  <si>
    <t>44940A-NASA Space with NASA</t>
  </si>
  <si>
    <t>06-109-64-00</t>
  </si>
  <si>
    <t>Бейсболка AMERICAN NEEDLE арт. 44970A-CALI California (серый / розовый) {spfa}</t>
  </si>
  <si>
    <t>44970A-CALI California</t>
  </si>
  <si>
    <t>spfa</t>
  </si>
  <si>
    <t>06-110-19-00</t>
  </si>
  <si>
    <t>Бейсболка AMERICAN NEEDLE арт. 45000A-NASA Space with NASA (голубой) {pblu}</t>
  </si>
  <si>
    <t>45000A-NASA Space with NASA</t>
  </si>
  <si>
    <t>58% полиэстер - 42% нейлон</t>
  </si>
  <si>
    <t>pblu</t>
  </si>
  <si>
    <t>06-111-56-00</t>
  </si>
  <si>
    <t>Панама AMERICAN NEEDLE арт. 45010A-CALI California Twill (хаки) {camo}</t>
  </si>
  <si>
    <t>45010A-CALI California Twill</t>
  </si>
  <si>
    <t>06-111-56-56</t>
  </si>
  <si>
    <t>06-111-56-60</t>
  </si>
  <si>
    <t>06-112-09-00</t>
  </si>
  <si>
    <t>Бейсболка AMERICAN NEEDLE арт. 45020A-CALI California Conrad (черный) {blk}</t>
  </si>
  <si>
    <t>45020A-CALI California Conrad</t>
  </si>
  <si>
    <t>06-113-09-00</t>
  </si>
  <si>
    <t>Бейсболка AMERICAN NEEDLE арт. 45030A-NASA Space with NASA General (черный) {blk}</t>
  </si>
  <si>
    <t>45030A-NASA Space with NASA General</t>
  </si>
  <si>
    <t>06-114-09-00</t>
  </si>
  <si>
    <t>Бейсболка AMERICAN NEEDLE арт. 45060A-CA California Surplus (черный) {blk}</t>
  </si>
  <si>
    <t>45060A-CA California Surplus</t>
  </si>
  <si>
    <t>06-115-09-00</t>
  </si>
  <si>
    <t>Бейсболка AMERICAN NEEDLE арт. 45060A-NASA Space with NASA Surplus (черный) {blk}</t>
  </si>
  <si>
    <t>45060A-NASA Space with NASA Surplus</t>
  </si>
  <si>
    <t>06-116-09-00</t>
  </si>
  <si>
    <t>Бейсболка AMERICAN NEEDLE арт. GM-1904A Firebird (черный) {blk}</t>
  </si>
  <si>
    <t>GM-1904A Firebird</t>
  </si>
  <si>
    <t>AMERICAN NEEDLE-Cars</t>
  </si>
  <si>
    <t>06-117-36-00</t>
  </si>
  <si>
    <t>Бейсболка AMERICAN NEEDLE арт. GM-1908A Chevrolet (кремовый / синий) {invy}</t>
  </si>
  <si>
    <t>GM-1908A Chevrolet</t>
  </si>
  <si>
    <t>invy</t>
  </si>
  <si>
    <t>06-118-09-00</t>
  </si>
  <si>
    <t>Бейсболка AMERICAN NEEDLE арт. GM-1909A Chevrolet (черный) {blk}</t>
  </si>
  <si>
    <t>GM-1909A Chevrolet</t>
  </si>
  <si>
    <t>06-119-09-00</t>
  </si>
  <si>
    <t>Бейсболка AMERICAN NEEDLE арт. GM-1909B Cadillac (черный) {blk}</t>
  </si>
  <si>
    <t>GM-1909B Cadillac</t>
  </si>
  <si>
    <t>06-120-19-00</t>
  </si>
  <si>
    <t>Бейсболка AMERICAN NEEDLE арт. GM-1910A Chevrolet (голубой) {iroy}</t>
  </si>
  <si>
    <t>GM-1910A Chevrolet</t>
  </si>
  <si>
    <t>вельветовые</t>
  </si>
  <si>
    <t>iroy</t>
  </si>
  <si>
    <t>06-121-16-00</t>
  </si>
  <si>
    <t>Бейсболка AMERICAN NEEDLE арт. GM-2002A Chevrolet (темно-синий) {invy}</t>
  </si>
  <si>
    <t>GM-2002A Chevrolet</t>
  </si>
  <si>
    <t>06-122-09-00</t>
  </si>
  <si>
    <t>Бейсболка AMERICAN NEEDLE арт. GMC-2001A Cadillac (черный) {blk}</t>
  </si>
  <si>
    <t>GMC-2001A Cadillac</t>
  </si>
  <si>
    <t>06-123-16-00</t>
  </si>
  <si>
    <t>Бейсболка AMERICAN NEEDLE арт. GMC-2001B Chevrolet (темно-синий) {navy}</t>
  </si>
  <si>
    <t>GMC-2001B Chevrolet</t>
  </si>
  <si>
    <t>06-124-09-00</t>
  </si>
  <si>
    <t>Бейсболка AMERICAN NEEDLE арт. SMU277A-NASA Space with NASA (черный) {blk}</t>
  </si>
  <si>
    <t>SMU277A-NASA Space with NASA</t>
  </si>
  <si>
    <t>06-125-06-00</t>
  </si>
  <si>
    <t>Бейсболка AMERICAN NEEDLE арт. SMU277A-YNP Yellowstone (зеленый) {dgrn}</t>
  </si>
  <si>
    <t>SMU277A-YNP Yellowstone</t>
  </si>
  <si>
    <t>06-126-02-00</t>
  </si>
  <si>
    <t>Бейсболка AMERICAN NEEDLE арт. SMU302A-PALMS Palm Springs (бежевый) {stn}</t>
  </si>
  <si>
    <t>SMU302A-PALMS Palm Springs</t>
  </si>
  <si>
    <t>stn</t>
  </si>
  <si>
    <t>06-127-09-00</t>
  </si>
  <si>
    <t>Бейсболка AMERICAN NEEDLE арт. SMU302D-GM Cadillac (черный) {blk}</t>
  </si>
  <si>
    <t>SMU302D-GM Cadillac</t>
  </si>
  <si>
    <t>06-128-06-00</t>
  </si>
  <si>
    <t>Бейсболка AMERICAN NEEDLE арт. SMU500A-TAHOE Lake Tahoe (синий) {gsbn}</t>
  </si>
  <si>
    <t>SMU500A-TAHOE Lake Tahoe</t>
  </si>
  <si>
    <t>gsbn</t>
  </si>
  <si>
    <t>06-129-03-00</t>
  </si>
  <si>
    <t>Бейсболка AMERICAN NEEDLE арт. SMU562-VT Vermont Iconic (оливковый) {dgrn}</t>
  </si>
  <si>
    <t>SMU562-VT Vermont Iconic</t>
  </si>
  <si>
    <t>06-130-03-00</t>
  </si>
  <si>
    <t>Бейсболка AMERICAN NEEDLE арт. SMU598A-VT Vermont (оливковый) {icgc}</t>
  </si>
  <si>
    <t>SMU598A-VT Vermont</t>
  </si>
  <si>
    <t>icgc</t>
  </si>
  <si>
    <t>06-052-01-00</t>
  </si>
  <si>
    <t>Бейсболка AMERICAN NEEDLE арт. 42760A-CALI California (светло-серый) {mineral}</t>
  </si>
  <si>
    <t>06-131-03-00</t>
  </si>
  <si>
    <t>Бейсболка AMERICAN NEEDLE арт. 20001A-AUSTINMO Austin Motor Company (оливковый) {moss}</t>
  </si>
  <si>
    <t>20001A-AUSTINMO Austin Motor Company</t>
  </si>
  <si>
    <t>Cars</t>
  </si>
  <si>
    <t>06-132-09-00</t>
  </si>
  <si>
    <t>Бейсболка AMERICAN NEEDLE арт. 20001A-IRONSIDE Ironside Motorcycle (черный) {black}</t>
  </si>
  <si>
    <t>20001A-IRONSIDE Ironside Motorcycle</t>
  </si>
  <si>
    <t>06-133-16-00</t>
  </si>
  <si>
    <t>Бейсболка AMERICAN NEEDLE арт. 20001A-LAMOTOR Los Angeles Motordrome (темно-синий) {navy}</t>
  </si>
  <si>
    <t>20001A-LAMOTOR Los Angeles Motordrome</t>
  </si>
  <si>
    <t>06-134-18-00</t>
  </si>
  <si>
    <t>Бейсболка AMERICAN NEEDLE арт. 20001A-NWILKES North Wilkesboro Speedway (красный) {crimson}</t>
  </si>
  <si>
    <t>20001A-NWILKES North Wilkesboro Speedway</t>
  </si>
  <si>
    <t>crimson</t>
  </si>
  <si>
    <t>06-135-19-00</t>
  </si>
  <si>
    <t>Бейсболка AMERICAN NEEDLE арт. 20001A-SAUGUS Saugus Speedway (голубой) {seafoam}</t>
  </si>
  <si>
    <t>20001A-SAUGUS Saugus Speedway</t>
  </si>
  <si>
    <t>seafoam</t>
  </si>
  <si>
    <t>06-136-06-00</t>
  </si>
  <si>
    <t>Бейсболка AMERICAN NEEDLE арт. 20001A-SUPERT The Super Track (синий) {blue}</t>
  </si>
  <si>
    <t>20001A-SUPERT The Super Track</t>
  </si>
  <si>
    <t>06-137-65-00</t>
  </si>
  <si>
    <t>Бейсболка AMERICAN NEEDLE арт. 21001A-CA California Sinclair (темно-синий / белый) {nvivr}</t>
  </si>
  <si>
    <t>21001A-CA California Sinclair</t>
  </si>
  <si>
    <t>nvivr</t>
  </si>
  <si>
    <t>06-138-07-00</t>
  </si>
  <si>
    <t>Бейсболка AMERICAN NEEDLE арт. 21002A-CALI California Pacific Coast (темно-зеленый) {dk cedar}</t>
  </si>
  <si>
    <t>21002A-CALI California Pacific Coast</t>
  </si>
  <si>
    <t>58% нейлон - 42% полиэстер</t>
  </si>
  <si>
    <t>dk cedar</t>
  </si>
  <si>
    <t>06-139-19-00</t>
  </si>
  <si>
    <t>Бейсболка AMERICAN NEEDLE арт. 21002A-NASA Space with NASA Pacific Coast (голубой) {sky blue}</t>
  </si>
  <si>
    <t>21002A-NASA Space with NASA Pacific Coast</t>
  </si>
  <si>
    <t>06-140-09-00</t>
  </si>
  <si>
    <t>Бейсболка AMERICAN NEEDLE арт. 21005A-BAT Baltimore Terrapins Archive MILB (черный) {black}</t>
  </si>
  <si>
    <t>21005A-BAT Baltimore Terrapins Archive MILB</t>
  </si>
  <si>
    <t>06-141-09-00</t>
  </si>
  <si>
    <t>Бейсболка AMERICAN NEEDLE арт. 21005A-BBB Birmingham Black Barons Archive NL (черный) {black}</t>
  </si>
  <si>
    <t>21005A-BBB Birmingham Black Barons Archive NL</t>
  </si>
  <si>
    <t>06-142-45-00</t>
  </si>
  <si>
    <t>Бейсболка AMERICAN NEEDLE арт. 21005A-BRB Brooklyn Bushwicks Archive MILB (темно-синий / оранжевый) {nvor}</t>
  </si>
  <si>
    <t>21005A-BRB Brooklyn Bushwicks Archive MILB</t>
  </si>
  <si>
    <t>06-143-38-00</t>
  </si>
  <si>
    <t>Бейсболка AMERICAN NEEDLE арт. 21005A-BTT Brooklyn Tip-Tops Archive MILB (белый / синий) {ivrl}</t>
  </si>
  <si>
    <t>21005A-BTT Brooklyn Tip-Tops Archive MILB</t>
  </si>
  <si>
    <t>ivrl</t>
  </si>
  <si>
    <t>06-144-09-00</t>
  </si>
  <si>
    <t>Бейсболка AMERICAN NEEDLE арт. 21005A-CAG Chicago American Giants Archive NL (черный) {black}</t>
  </si>
  <si>
    <t>21005A-CAG Chicago American Giants Archive NL</t>
  </si>
  <si>
    <t>06-145-95-00</t>
  </si>
  <si>
    <t>Бейсболка AMERICAN NEEDLE арт. 21005A-CBS Chicago Blue Stockings Archive MILB (синий / белый) {royal-ivory}</t>
  </si>
  <si>
    <t>21005A-CBS Chicago Blue Stockings Archive MILB</t>
  </si>
  <si>
    <t>royal-ivory</t>
  </si>
  <si>
    <t>06-146-70-00</t>
  </si>
  <si>
    <t>Бейсболка AMERICAN NEEDLE арт. 21005A-CHO Chicago Orphans Archive MILB (белый / темно-синий) {ivory-navy}</t>
  </si>
  <si>
    <t>21005A-CHO Chicago Orphans Archive MILB</t>
  </si>
  <si>
    <t>ivory-navy</t>
  </si>
  <si>
    <t>06-147-45-00</t>
  </si>
  <si>
    <t>Бейсболка AMERICAN NEEDLE арт. 21005A-CSP Cleveland Spiders Archive MILB (белый / красный) {ivory-red}</t>
  </si>
  <si>
    <t>21005A-CSP Cleveland Spiders Archive MILB</t>
  </si>
  <si>
    <t>ivory-red</t>
  </si>
  <si>
    <t>06-148-48-00</t>
  </si>
  <si>
    <t>Бейсболка AMERICAN NEEDLE арт. 21005A-CUG Chicago Union Giants Archive MILB (белый / черный) {ivory-black}</t>
  </si>
  <si>
    <t>21005A-CUG Chicago Union Giants Archive MILB</t>
  </si>
  <si>
    <t>ivory-black</t>
  </si>
  <si>
    <t>06-149-70-00</t>
  </si>
  <si>
    <t>Бейсболка AMERICAN NEEDLE арт. 21005A-DTW Detroit Wolverines Archive MILB (белый / темно-синий) {ivory-navy}</t>
  </si>
  <si>
    <t>21005A-DTW Detroit Wolverines Archive MILB</t>
  </si>
  <si>
    <t>06-150-01-00</t>
  </si>
  <si>
    <t>Бейсболка AMERICAN NEEDLE арт. 21005A-HOG Homestead Grays Archive NL (светло-серый) {grey}</t>
  </si>
  <si>
    <t>21005A-HOG Homestead Grays Archive NL</t>
  </si>
  <si>
    <t>06-151-18-00</t>
  </si>
  <si>
    <t>Бейсболка AMERICAN NEEDLE арт. 21005A-KCM Kansas City Monarchs Archive NL (красный) {red}</t>
  </si>
  <si>
    <t>21005A-KCM Kansas City Monarchs Archive NL</t>
  </si>
  <si>
    <t>06-152-70-00</t>
  </si>
  <si>
    <t>Бейсболка AMERICAN NEEDLE арт. 21005A-KCP Kansas City Packers Archive MILB (белый / темно-синий) {ivory-navy}</t>
  </si>
  <si>
    <t>21005A-KCP Kansas City Packers Archive MILB</t>
  </si>
  <si>
    <t>06-153-16-00</t>
  </si>
  <si>
    <t>Бейсболка AMERICAN NEEDLE арт. 21005A-LCO Louisville Colonels Archive MILB (темно-синий) {navy-red}</t>
  </si>
  <si>
    <t>21005A-LCO Louisville Colonels Archive MILB</t>
  </si>
  <si>
    <t>navy-red</t>
  </si>
  <si>
    <t>06-154-16-00</t>
  </si>
  <si>
    <t>Бейсболка AMERICAN NEEDLE арт. 21005A-NYC New York Cubans Archive NL (темно-синий) {navy}</t>
  </si>
  <si>
    <t>21005A-NYC New York Cubans Archive NL</t>
  </si>
  <si>
    <t>06-155-09-00</t>
  </si>
  <si>
    <t>Бейсболка AMERICAN NEEDLE арт. 21005A-NYKN New York Knickerbocker Archive MILB (черный) {black}</t>
  </si>
  <si>
    <t>21005A-NYKN New York Knickerbocker Archive MILB</t>
  </si>
  <si>
    <t>06-156-16-00</t>
  </si>
  <si>
    <t>Бейсболка AMERICAN NEEDLE арт. 21005A-SAF San Francisco Seals Archive MILB (темно-синий) {navy}</t>
  </si>
  <si>
    <t>21005A-SAF San Francisco Seals Archive MILB</t>
  </si>
  <si>
    <t>06-157-16-00</t>
  </si>
  <si>
    <t>Бейсболка AMERICAN NEEDLE арт. 21005A-SER Seattle Rainers Archive MILB (темно-синий) {navy}</t>
  </si>
  <si>
    <t>21005A-SER Seattle Rainers Archive MILB</t>
  </si>
  <si>
    <t>06-158-16-00</t>
  </si>
  <si>
    <t>Бейсболка AMERICAN NEEDLE арт. 21005A-STE Saint Louis Terriers Archive MILB (темно-синий) {navy}</t>
  </si>
  <si>
    <t>21005A-STE Saint Louis Terriers Archive MILB</t>
  </si>
  <si>
    <t>06-159-70-00</t>
  </si>
  <si>
    <t>Бейсболка AMERICAN NEEDLE арт. 21005A-WHA Chicago Whales Archive MILB (белый / темно-синий) {ivory-navy}</t>
  </si>
  <si>
    <t>21005A-WHA Chicago Whales Archive MILB</t>
  </si>
  <si>
    <t>06-160-09-00</t>
  </si>
  <si>
    <t>Бейсболка AMERICAN NEEDLE арт. 21005A-YOG Yomiuri Giants Archive NPL (черный) {black}</t>
  </si>
  <si>
    <t>21005A-YOG Yomiuri Giants Archive NPL</t>
  </si>
  <si>
    <t>06-161-12-00</t>
  </si>
  <si>
    <t>Бейсболка AMERICAN NEEDLE арт. 21006A-COA Colorado Avalanche Archive 400 NHL (бордовый) {mar}</t>
  </si>
  <si>
    <t>21006A-COA Colorado Avalanche Archive 400 NHL</t>
  </si>
  <si>
    <t>06-162-01-00</t>
  </si>
  <si>
    <t>Бейсболка AMERICAN NEEDLE арт. 21006A-HOG Homestead Grays Archive 400 NL (светло-серый) {grey}</t>
  </si>
  <si>
    <t>21006A-HOG Homestead Grays Archive 400 NL</t>
  </si>
  <si>
    <t>65% акрил - 35% шерсть</t>
  </si>
  <si>
    <t>06-163-16-00</t>
  </si>
  <si>
    <t>Бейсболка AMERICAN NEEDLE арт. 21006A-LOS Los Angeles Angels Archive 400 MILB (темно-синий) {navy}</t>
  </si>
  <si>
    <t>21006A-LOS Los Angeles Angels Archive 400 MILB</t>
  </si>
  <si>
    <t>06-164-09-00</t>
  </si>
  <si>
    <t>Бейсболка AMERICAN NEEDLE арт. 21006A-NBY New York Black Yankees Archive 400 NL (черный) {black}</t>
  </si>
  <si>
    <t>21006A-NBY New York Black Yankees Archive 400 NL</t>
  </si>
  <si>
    <t>06-165-16-00</t>
  </si>
  <si>
    <t>Бейсболка AMERICAN NEEDLE арт. 21006A-NYC New York Cubans Archive 400 NL (темно-синий) {navy}</t>
  </si>
  <si>
    <t>21006A-NYC New York Cubans Archive 400 NL</t>
  </si>
  <si>
    <t>06-166-62-00</t>
  </si>
  <si>
    <t>Бейсболка AMERICAN NEEDLE арт. 21006A-SJS San Jose Sharks Archive 400 NHL (черный / голубой) {blte}</t>
  </si>
  <si>
    <t>21006A-SJS San Jose Sharks Archive 400 NHL</t>
  </si>
  <si>
    <t>blte</t>
  </si>
  <si>
    <t>06-167-06-00</t>
  </si>
  <si>
    <t>Бейсболка AMERICAN NEEDLE арт. 21006A-TML Toronto Maple Leafs Archive 400 NHL (синий) {roy}</t>
  </si>
  <si>
    <t>21006A-TML Toronto Maple Leafs Archive 400 NHL</t>
  </si>
  <si>
    <t>06-168-21-00</t>
  </si>
  <si>
    <t>Бейсболка AMERICAN NEEDLE арт. 21006A-WPJ Winnipeg Jets Archive 400 NHL (синий / красный) {royal-red}</t>
  </si>
  <si>
    <t>21006A-WPJ Winnipeg Jets Archive 400 NHL</t>
  </si>
  <si>
    <t>royal-red</t>
  </si>
  <si>
    <t>06-169-62-00</t>
  </si>
  <si>
    <t>Бейсболка AMERICAN NEEDLE арт. 21007A-CA California Surf Tri-Color (голубой / темно-синий) {navy}</t>
  </si>
  <si>
    <t>21007A-CA California Surf Tri-Color</t>
  </si>
  <si>
    <t>06-170-53-00</t>
  </si>
  <si>
    <t>Бейсболка AMERICAN NEEDLE арт. 21007A-DAYTONA Daytona Tri-Color (черный / кремовый) {ivory-black}</t>
  </si>
  <si>
    <t>21007A-DAYTONA Daytona Tri-Color</t>
  </si>
  <si>
    <t>06-171-06-00</t>
  </si>
  <si>
    <t>Бейсболка AMERICAN NEEDLE арт. 21007A-NASA Space with NASA Tri-Color (синий / голубой) {blue-royal}</t>
  </si>
  <si>
    <t>21007A-NASA Space with NASA Tri-Color</t>
  </si>
  <si>
    <t>blue-royal</t>
  </si>
  <si>
    <t>06-172-18-00</t>
  </si>
  <si>
    <t>Бейсболка AMERICAN NEEDLE арт. 21010A-CORVETTE Corvette VMoto Valin (красный / белый) {ivory red}</t>
  </si>
  <si>
    <t>21010A-CORVETTE Corvette VMoto Valin</t>
  </si>
  <si>
    <t>ivory red</t>
  </si>
  <si>
    <t>06-173-06-00</t>
  </si>
  <si>
    <t>Бейсболка AMERICAN NEEDLE арт. 21010A-TXWRLD Texas World Speedway VMoto Valin (синий) {core}</t>
  </si>
  <si>
    <t>21010A-TXWRLD Texas World Speedway VMoto Valin</t>
  </si>
  <si>
    <t>core</t>
  </si>
  <si>
    <t>06-174-09-56</t>
  </si>
  <si>
    <t>Панама AMERICAN NEEDLE арт. 21012A-CA California Twill Screen (черный) {black}</t>
  </si>
  <si>
    <t>21012A-CA California Twill Screen</t>
  </si>
  <si>
    <t>06-174-09-60</t>
  </si>
  <si>
    <t>06-175-16-56</t>
  </si>
  <si>
    <t>Панама AMERICAN NEEDLE арт. 21012A-CALI California Twill Screen (темно-синий) {navy}</t>
  </si>
  <si>
    <t>21012A-CALI California Twill Screen</t>
  </si>
  <si>
    <t>06-175-16-60</t>
  </si>
  <si>
    <t>06-176-01-56</t>
  </si>
  <si>
    <t>Панама AMERICAN NEEDLE арт. 21012A-MONT Montauk Twill Screen (светло-серый) {ruisseau}</t>
  </si>
  <si>
    <t>21012A-MONT Montauk Twill Screen</t>
  </si>
  <si>
    <t>ruisseau</t>
  </si>
  <si>
    <t>06-176-01-60</t>
  </si>
  <si>
    <t>06-177-09-56</t>
  </si>
  <si>
    <t>Панама AMERICAN NEEDLE арт. 21012A-PINKE Pink Elephant Twill Screen (черный) {black}</t>
  </si>
  <si>
    <t>21012A-PINKE Pink Elephant Twill Screen</t>
  </si>
  <si>
    <t>06-177-09-60</t>
  </si>
  <si>
    <t>06-178-17-56</t>
  </si>
  <si>
    <t>Панама AMERICAN NEEDLE арт. 21012A-SURF Surf USA Twill Screen (белый) {white}</t>
  </si>
  <si>
    <t>21012A-SURF Surf USA Twill Screen</t>
  </si>
  <si>
    <t>06-178-17-60</t>
  </si>
  <si>
    <t>06-179-08-56</t>
  </si>
  <si>
    <t>Панама AMERICAN NEEDLE арт. 21012A-TAHOE Lake Tahoe Twill Screen (серый) {mineral}</t>
  </si>
  <si>
    <t>21012A-TAHOE Lake Tahoe Twill Screen</t>
  </si>
  <si>
    <t>06-179-08-60</t>
  </si>
  <si>
    <t>06-180-09-00</t>
  </si>
  <si>
    <t>Бейсболка AMERICAN NEEDLE арт. 36670A-HTI Hansin Tigers New Raglan NPL (черный) {black}</t>
  </si>
  <si>
    <t>36670A-HTI Hansin Tigers New Raglan NPL</t>
  </si>
  <si>
    <t>06-181-16-00</t>
  </si>
  <si>
    <t>Бейсболка AMERICAN NEEDLE арт. 36670A-SAF San Francisco Seals New Raglan MILB (темно-синий) {navy}</t>
  </si>
  <si>
    <t>36670A-SAF San Francisco Seals New Raglan MILB</t>
  </si>
  <si>
    <t>06-182-18-00</t>
  </si>
  <si>
    <t>Бейсболка AMERICAN NEEDLE арт. 36670A-SER Seattle Rainiers New Raglan MILB (темно-красный) {dark red}</t>
  </si>
  <si>
    <t>36670A-SER Seattle Rainiers New Raglan MILB</t>
  </si>
  <si>
    <t>dark red</t>
  </si>
  <si>
    <t>06-183-09-00</t>
  </si>
  <si>
    <t>Бейсболка AMERICAN NEEDLE арт. 36670A-YOG Yomiuri Giants New Raglan NPL (черный) {black}</t>
  </si>
  <si>
    <t>36670A-YOG Yomiuri Giants New Raglan NPL</t>
  </si>
  <si>
    <t>06-184-09-00</t>
  </si>
  <si>
    <t>Бейсболка AMERICAN NEEDLE арт. 36672A-BBR Boston Bruins New Raglan NHL (черный) {black}</t>
  </si>
  <si>
    <t>36672A-BBR Boston Bruins New Raglan NHL</t>
  </si>
  <si>
    <t>06-185-09-00</t>
  </si>
  <si>
    <t>Бейсболка AMERICAN NEEDLE арт. 36672A-CBH Chicago Blackhawks New Raglan NHL (черный) {black}</t>
  </si>
  <si>
    <t>36672A-CBH Chicago Blackhawks New Raglan NHL</t>
  </si>
  <si>
    <t>06-186-18-00</t>
  </si>
  <si>
    <t>Бейсболка AMERICAN NEEDLE арт. 36672A-DRW Detroit Red Wings New Raglan NHL (темно-красный) {dark red}</t>
  </si>
  <si>
    <t>36672A-DRW Detroit Red Wings New Raglan NHL</t>
  </si>
  <si>
    <t>06-187-16-00</t>
  </si>
  <si>
    <t>Бейсболка AMERICAN NEEDLE арт. 36672A-HAW Hartford Whalers New Raglan NHL (темно-синий) {navy}</t>
  </si>
  <si>
    <t>36672A-HAW Hartford Whalers New Raglan NHL</t>
  </si>
  <si>
    <t>06-188-09-00</t>
  </si>
  <si>
    <t>Бейсболка AMERICAN NEEDLE арт. 36672A-NHL Original 6 New Raglan NHL (черный) {black}</t>
  </si>
  <si>
    <t>36672A-NHL Original 6 New Raglan NHL</t>
  </si>
  <si>
    <t>06-189-06-00</t>
  </si>
  <si>
    <t>Бейсболка AMERICAN NEEDLE арт. 36672A-NYR New York Rangers New Raglan NHL (синий) {blue}</t>
  </si>
  <si>
    <t>36672A-NYR New York Rangers New Raglan NHL</t>
  </si>
  <si>
    <t>06-190-06-00</t>
  </si>
  <si>
    <t>Бейсболка AMERICAN NEEDLE арт. 36672A-SLB Saint Louis Blues New Raglan NHL (синий) {blue}</t>
  </si>
  <si>
    <t>36672A-SLB Saint Louis Blues New Raglan NHL</t>
  </si>
  <si>
    <t>06-191-09-00</t>
  </si>
  <si>
    <t>Бейсболка AMERICAN NEEDLE арт. 36672A-VGK Vegas Golden Knights New Raglan NHL (черный) {black}</t>
  </si>
  <si>
    <t>36672A-VGK Vegas Golden Knights New Raglan NHL</t>
  </si>
  <si>
    <t>06-192-13-00</t>
  </si>
  <si>
    <t>Шапка AMERICAN NEEDLE арт. 39712A-PHF Philadelphia Flyers Basic NHL (оранжевый) {orange}</t>
  </si>
  <si>
    <t>39712A-PHF Philadelphia Flyers Basic NHL</t>
  </si>
  <si>
    <t>orange</t>
  </si>
  <si>
    <t>06-193-09-00</t>
  </si>
  <si>
    <t>Шапка AMERICAN NEEDLE арт. 39712A-SEK Seattle Kraken Basic NHL (черный) {black}</t>
  </si>
  <si>
    <t>39712A-SEK Seattle Kraken Basic NHL</t>
  </si>
  <si>
    <t>06-193-16-00</t>
  </si>
  <si>
    <t>Шапка AMERICAN NEEDLE арт. 39712A-SEK Seattle Kraken Basic NHL (темно-синий) {navy}</t>
  </si>
  <si>
    <t>06-194-06-00</t>
  </si>
  <si>
    <t>Шапка AMERICAN NEEDLE арт. 39712A-TML Toronto Maple Leafs Basic NHL (синий) {royal}</t>
  </si>
  <si>
    <t>39712A-TML Toronto Maple Leafs Basic NHL</t>
  </si>
  <si>
    <t>royal</t>
  </si>
  <si>
    <t>06-195-09-00</t>
  </si>
  <si>
    <t>Бейсболка AMERICAN NEEDLE арт. 40742A-BBR Boston Bruins Blue Line NHL (черный) {black}</t>
  </si>
  <si>
    <t>40742A-BBR Boston Bruins Blue Line NHL</t>
  </si>
  <si>
    <t>06-196-09-00</t>
  </si>
  <si>
    <t>Бейсболка AMERICAN NEEDLE арт. 40742A-CBH Chicago Blackhawks Blue Line NHL (черный) {black}</t>
  </si>
  <si>
    <t>40742A-CBH Chicago Blackhawks Blue Line NHL</t>
  </si>
  <si>
    <t>06-197-18-00</t>
  </si>
  <si>
    <t>Бейсболка AMERICAN NEEDLE арт. 40742A-CFL Calgary Flames Blue Line NHL (красный) {red}</t>
  </si>
  <si>
    <t>40742A-CFL Calgary Flames Blue Line NHL</t>
  </si>
  <si>
    <t>06-198-12-00</t>
  </si>
  <si>
    <t>Бейсболка AMERICAN NEEDLE арт. 40742A-COA Colorado Avalanche Blue Line NHL (бордовый) {maroon}</t>
  </si>
  <si>
    <t>40742A-COA Colorado Avalanche Blue Line NHL</t>
  </si>
  <si>
    <t>maroon</t>
  </si>
  <si>
    <t>06-199-06-00</t>
  </si>
  <si>
    <t>Бейсболка AMERICAN NEEDLE арт. 40742A-EDO Edmonton Oilers Blue Line NHL (синий) {royal}</t>
  </si>
  <si>
    <t>40742A-EDO Edmonton Oilers Blue Line NHL</t>
  </si>
  <si>
    <t>06-200-06-00</t>
  </si>
  <si>
    <t>Бейсболка AMERICAN NEEDLE арт. 40742A-SLB Saint Louis Blues Blue Line NHL (синий) {royal}</t>
  </si>
  <si>
    <t>40742A-SLB Saint Louis Blues Blue Line NHL</t>
  </si>
  <si>
    <t>06-201-06-00</t>
  </si>
  <si>
    <t>Бейсболка AMERICAN NEEDLE арт. 40742A-TBL Tampa Bay Lightning Blue Line NHL (синий) {royal}</t>
  </si>
  <si>
    <t>40742A-TBL Tampa Bay Lightning Blue Line NHL</t>
  </si>
  <si>
    <t>06-202-06-00</t>
  </si>
  <si>
    <t>Бейсболка AMERICAN NEEDLE арт. 40742B-BUS Buffalo Sabres Blue Line NHL (синий) {royal}</t>
  </si>
  <si>
    <t>40742B-BUS Buffalo Sabres Blue Line NHL</t>
  </si>
  <si>
    <t>06-203-16-00</t>
  </si>
  <si>
    <t>Бейсболка AMERICAN NEEDLE арт. 40742B-HAW Hartford Whalers Blue Line NHL (темно-синий) {navy}</t>
  </si>
  <si>
    <t>40742B-HAW Hartford Whalers Blue Line NHL</t>
  </si>
  <si>
    <t>06-204-09-00</t>
  </si>
  <si>
    <t>Бейсболка AMERICAN NEEDLE арт. 40742B-LAK Los Angeles Kings Blue Line NHL (черный) {black}</t>
  </si>
  <si>
    <t>40742B-LAK Los Angeles Kings Blue Line NHL</t>
  </si>
  <si>
    <t>06-205-09-00</t>
  </si>
  <si>
    <t>Бейсболка AMERICAN NEEDLE арт. 40742B-MNW Minnesota Wild Blue Line NHL (черный) {black}</t>
  </si>
  <si>
    <t>40742B-MNW Minnesota Wild Blue Line NHL</t>
  </si>
  <si>
    <t>06-206-09-00</t>
  </si>
  <si>
    <t>Бейсболка AMERICAN NEEDLE арт. 41152A-BBR Boston Bruins Raglan Bones NHL (черный) {black}</t>
  </si>
  <si>
    <t>41152A-BBR Boston Bruins Raglan Bones NHL</t>
  </si>
  <si>
    <t>06-207-18-00</t>
  </si>
  <si>
    <t>Бейсболка AMERICAN NEEDLE арт. 41152A-CAH Carolina Hurricanes Raglan Bones NHL (красный) {red}</t>
  </si>
  <si>
    <t>41152A-CAH Carolina Hurricanes Raglan Bones NHL</t>
  </si>
  <si>
    <t>06-208-09-00</t>
  </si>
  <si>
    <t>Бейсболка AMERICAN NEEDLE арт. 41152A-CBH Chicago Blackhawks Raglan Bones NHL (черный) {black}</t>
  </si>
  <si>
    <t>41152A-CBH Chicago Blackhawks Raglan Bones NHL</t>
  </si>
  <si>
    <t>06-209-09-00</t>
  </si>
  <si>
    <t>Бейсболка AMERICAN NEEDLE арт. 41152A-DRW Detroit Red Wings Raglan Bones NHL (черный) {black}</t>
  </si>
  <si>
    <t>41152A-DRW Detroit Red Wings Raglan Bones NHL</t>
  </si>
  <si>
    <t>06-210-09-00</t>
  </si>
  <si>
    <t>Бейсболка AMERICAN NEEDLE арт. 41152A-PHF Philadelphia Flyers Raglan Bones NHL (черный) {black}</t>
  </si>
  <si>
    <t>41152A-PHF Philadelphia Flyers Raglan Bones NHL</t>
  </si>
  <si>
    <t>06-211-09-00</t>
  </si>
  <si>
    <t>Бейсболка AMERICAN NEEDLE арт. 41152A-PPN Pittsburgh Penguins Raglan Bones NHL (черный) {black}</t>
  </si>
  <si>
    <t>41152A-PPN Pittsburgh Penguins Raglan Bones NHL</t>
  </si>
  <si>
    <t>06-212-06-00</t>
  </si>
  <si>
    <t>Бейсболка AMERICAN NEEDLE арт. 41152A-SLB Saint Louis Blues Raglan Bones NHL (синий) {royal}</t>
  </si>
  <si>
    <t>41152A-SLB Saint Louis Blues Raglan Bones NHL</t>
  </si>
  <si>
    <t>06-213-16-00</t>
  </si>
  <si>
    <t>Бейсболка AMERICAN NEEDLE арт. 41152A-WAC Washington Capitals Raglan Bones NHL (темно-синий) {navy}</t>
  </si>
  <si>
    <t>41152A-WAC Washington Capitals Raglan Bones NHL</t>
  </si>
  <si>
    <t>06-214-72-00</t>
  </si>
  <si>
    <t>Бейсболка AMERICAN NEEDLE арт. 41722A-CAH Carolina Hurricanes Outfield NHL (черный / красный) {black-red}</t>
  </si>
  <si>
    <t>41722A-CAH Carolina Hurricanes Outfield NHL</t>
  </si>
  <si>
    <t>black-red</t>
  </si>
  <si>
    <t>06-215-51-00</t>
  </si>
  <si>
    <t>Бейсболка AMERICAN NEEDLE арт. 41722A-DAS Dallas Stars Outfield NHL (темно-зеленый / черный) {dkgrbk}</t>
  </si>
  <si>
    <t>41722A-DAS Dallas Stars Outfield NHL</t>
  </si>
  <si>
    <t>dkgrbk</t>
  </si>
  <si>
    <t>06-216-72-00</t>
  </si>
  <si>
    <t>Бейсболка AMERICAN NEEDLE арт. 41722A-DRW Detroit Red Wings Outfield NHL (красный / черный) {red-black}</t>
  </si>
  <si>
    <t>41722A-DRW Detroit Red Wings Outfield NHL</t>
  </si>
  <si>
    <t>red-black</t>
  </si>
  <si>
    <t>06-217-21-00</t>
  </si>
  <si>
    <t>Бейсболка AMERICAN NEEDLE арт. 41722A-NYR New York Rangers Outfield NHL (синий / красный) {royal-red}</t>
  </si>
  <si>
    <t>41722A-NYR New York Rangers Outfield NHL</t>
  </si>
  <si>
    <t>06-218-70-00</t>
  </si>
  <si>
    <t>Бейсболка AMERICAN NEEDLE арт. 41722A-VGK Vegas Golden Knights Outfield NHL (черный / золотой) {bkgld}</t>
  </si>
  <si>
    <t>41722A-VGK Vegas Golden Knights Outfield NHL</t>
  </si>
  <si>
    <t>bkgld</t>
  </si>
  <si>
    <t>06-219-44-00</t>
  </si>
  <si>
    <t>Шапка AMERICAN NEEDLE арт. 42050A-JTNP Joshua Tree National Park Pillow (оливковый / белый) {olgd}</t>
  </si>
  <si>
    <t>42050A-JTNP Joshua Tree National Park Pillow</t>
  </si>
  <si>
    <t>olgd</t>
  </si>
  <si>
    <t>06-220-21-00</t>
  </si>
  <si>
    <t>Бейсболка AMERICAN NEEDLE арт. 42652A-NYR New York Rangers Chipper NHL (синий / красный) {royal-red}</t>
  </si>
  <si>
    <t>42652A-NYR New York Rangers Chipper NHL</t>
  </si>
  <si>
    <t>06-221-72-00</t>
  </si>
  <si>
    <t>Бейсболка AMERICAN NEEDLE арт. 42692A-CBH Chicago Blackhawks Tradition NHL (красный / черный) {red-black}</t>
  </si>
  <si>
    <t>42692A-CBH Chicago Blackhawks Tradition NHL</t>
  </si>
  <si>
    <t>06-222-45-00</t>
  </si>
  <si>
    <t>Бейсболка AMERICAN NEEDLE арт. 42692A-DRW Detroit Red Wings Tradition NHL (белый / красный) {wtrd}</t>
  </si>
  <si>
    <t>42692A-DRW Detroit Red Wings Tradition NHL</t>
  </si>
  <si>
    <t>wtrd</t>
  </si>
  <si>
    <t>06-223-10-00</t>
  </si>
  <si>
    <t>Бейсболка AMERICAN NEEDLE арт. 42692A-LAK Los Angeles Kings Tradition NHL (черный / серый) {bkgr}</t>
  </si>
  <si>
    <t>42692A-LAK Los Angeles Kings Tradition NHL</t>
  </si>
  <si>
    <t>bkgr</t>
  </si>
  <si>
    <t>06-224-71-00</t>
  </si>
  <si>
    <t>Бейсболка AMERICAN NEEDLE арт. 42692A-NYR New York Rangers Tradition NHL (темно-синий / красный) {indrd}</t>
  </si>
  <si>
    <t>42692A-NYR New York Rangers Tradition NHL</t>
  </si>
  <si>
    <t>indrd</t>
  </si>
  <si>
    <t>06-225-18-00</t>
  </si>
  <si>
    <t>Шапка AMERICAN NEEDLE арт. 42792A-DRW Detroit Red Wings Breezy NHL (красный / белый) {red-black}</t>
  </si>
  <si>
    <t>42792A-DRW Detroit Red Wings Breezy NHL</t>
  </si>
  <si>
    <t>06-226-72-00</t>
  </si>
  <si>
    <t>Шапка AMERICAN NEEDLE арт. 42802A-DRW Detroit Red Wings Gusto NHL (красный / черный) {red-black}</t>
  </si>
  <si>
    <t>42802A-DRW Detroit Red Wings Gusto NHL</t>
  </si>
  <si>
    <t>06-227-71-00</t>
  </si>
  <si>
    <t>Шапка AMERICAN NEEDLE арт. 42810A-NASA Space with NASA Pillow (темно-синий / красный) {navy-red}</t>
  </si>
  <si>
    <t>42810A-NASA Space with NASA Pillow</t>
  </si>
  <si>
    <t>06-228-70-00</t>
  </si>
  <si>
    <t>Шапка AMERICAN NEEDLE арт. 42812A-SEK Seattle Kraken Pillow NHL (темно-синий / голубой) {nvbl}</t>
  </si>
  <si>
    <t>42812A-SEK Seattle Kraken Pillow NHL</t>
  </si>
  <si>
    <t>nvbl</t>
  </si>
  <si>
    <t>06-229-09-00</t>
  </si>
  <si>
    <t>Шапка AMERICAN NEEDLE арт. 42822A-CBH Chicago Blackhawks Cuffless (черный) {black}</t>
  </si>
  <si>
    <t>42822A-CBH Chicago Blackhawks Cuffless</t>
  </si>
  <si>
    <t>06-230-06-00</t>
  </si>
  <si>
    <t>Шапка AMERICAN NEEDLE арт. 42822A-NYI New York Islanders Cuffless (синий) {royal}</t>
  </si>
  <si>
    <t>42822A-NYI New York Islanders Cuffless</t>
  </si>
  <si>
    <t>06-231-16-00</t>
  </si>
  <si>
    <t>Бейсболка AMERICAN NEEDLE арт. 42832A-NYR New York Rangers Fleck NHL (темно-синий) {navy}</t>
  </si>
  <si>
    <t>42832A-NYR New York Rangers Fleck NHL</t>
  </si>
  <si>
    <t>06-232-18-00</t>
  </si>
  <si>
    <t>Бейсболка AMERICAN NEEDLE арт. 42862A-DRW Detroit Red Wings Conway NHL (красный) {red}</t>
  </si>
  <si>
    <t>42862A-DRW Detroit Red Wings Conway NHL</t>
  </si>
  <si>
    <t>06-233-06-00</t>
  </si>
  <si>
    <t>Бейсболка AMERICAN NEEDLE арт. 42862A-NYR New York Rangers Conway NHL (синий) {royal}</t>
  </si>
  <si>
    <t>42862A-NYR New York Rangers Conway NHL</t>
  </si>
  <si>
    <t>06-234-48-00</t>
  </si>
  <si>
    <t>Бейсболка AMERICAN NEEDLE арт. 42932A-LAK Los Angeles Kings United NHL (белый / черный) {ivory-blk}</t>
  </si>
  <si>
    <t>42932A-LAK Los Angeles Kings United NHL</t>
  </si>
  <si>
    <t>ivory-blk</t>
  </si>
  <si>
    <t>06-235-38-00</t>
  </si>
  <si>
    <t>Бейсболка AMERICAN NEEDLE арт. 42932A-NYR New York Rangers United NHL (белый / синий) {ivory-royal}</t>
  </si>
  <si>
    <t>42932A-NYR New York Rangers United NHL</t>
  </si>
  <si>
    <t>ivory-royal</t>
  </si>
  <si>
    <t>06-236-48-00</t>
  </si>
  <si>
    <t>Бейсболка AMERICAN NEEDLE арт. 42932A-PPN Pittsburgh Penguins United NHL (белый / черный) {ivory-blk}</t>
  </si>
  <si>
    <t>42932A-PPN Pittsburgh Penguins United NHL</t>
  </si>
  <si>
    <t>06-237-10-00</t>
  </si>
  <si>
    <t>Бейсболка AMERICAN NEEDLE арт. 42992A-CBH Chicago Blackhawks Stanton NHL (серый / черный) {grey-black}</t>
  </si>
  <si>
    <t>42992A-CBH Chicago Blackhawks Stanton NHL</t>
  </si>
  <si>
    <t>80% полиэстер - 20% вискоза</t>
  </si>
  <si>
    <t>grey-black</t>
  </si>
  <si>
    <t>06-238-75-00</t>
  </si>
  <si>
    <t>Бейсболка AMERICAN NEEDLE арт. 42992A-DRW Detroit Red Wings Stanton NHL (серый / красный) {grey-red}</t>
  </si>
  <si>
    <t>42992A-DRW Detroit Red Wings Stanton NHL</t>
  </si>
  <si>
    <t>grey-red</t>
  </si>
  <si>
    <t>06-239-26-00</t>
  </si>
  <si>
    <t>Бейсболка AMERICAN NEEDLE арт. 42992A-NYR New York Rangers Stanton NHL (серый / синий) {grey-royal}</t>
  </si>
  <si>
    <t>42992A-NYR New York Rangers Stanton NHL</t>
  </si>
  <si>
    <t>grey-royal</t>
  </si>
  <si>
    <t>06-240-13-00</t>
  </si>
  <si>
    <t>Бейсболка AMERICAN NEEDLE арт. 43020A-CA California Ballpark (кирпичный) {brick red}</t>
  </si>
  <si>
    <t>43020A-CA California Ballpark</t>
  </si>
  <si>
    <t>brick red</t>
  </si>
  <si>
    <t>06-241-18-00</t>
  </si>
  <si>
    <t>Бейсболка AMERICAN NEEDLE арт. 43020A-MALI Malibu Ballpark (красный) {red}</t>
  </si>
  <si>
    <t>43020A-MALI Malibu Ballpark</t>
  </si>
  <si>
    <t>06-242-11-00</t>
  </si>
  <si>
    <t>Бейсболка AMERICAN NEEDLE арт. 43020A-WIND Wind &amp; Sea Ballpark (зеленый) {mint}</t>
  </si>
  <si>
    <t>43020A-WIND Wind &amp; Sea Ballpark</t>
  </si>
  <si>
    <t>06-243-08-00</t>
  </si>
  <si>
    <t>Бейсболка AMERICAN NEEDLE арт. 43020B-CA California Ballpark (серый) {ruisseau}</t>
  </si>
  <si>
    <t>43020B-CA California Ballpark</t>
  </si>
  <si>
    <t>06-244-16-00</t>
  </si>
  <si>
    <t>Бейсболка AMERICAN NEEDLE арт. 43020C-CA California Ballpark (темно-синий) {navy}</t>
  </si>
  <si>
    <t>43020C-CA California Ballpark</t>
  </si>
  <si>
    <t>06-245-72-00</t>
  </si>
  <si>
    <t>Бейсболка AMERICAN NEEDLE арт. 43027A-BBB Birmingham Black Barons Ballpark NL (черный / красный) {black-red}</t>
  </si>
  <si>
    <t>43027A-BBB Birmingham Black Barons Ballpark NL</t>
  </si>
  <si>
    <t>06-246-16-00</t>
  </si>
  <si>
    <t>Бейсболка AMERICAN NEEDLE арт. 43027A-CAG Chicago American Giants Ballpark NL (темно-синий) {navy}</t>
  </si>
  <si>
    <t>43027A-CAG Chicago American Giants Ballpark NL</t>
  </si>
  <si>
    <t>06-247-08-00</t>
  </si>
  <si>
    <t>Бейсболка AMERICAN NEEDLE арт. 43027A-HOG Homestead Grays Ballpark NL (серый) {grey}</t>
  </si>
  <si>
    <t>43027A-HOG Homestead Grays Ballpark NL</t>
  </si>
  <si>
    <t>06-248-18-00</t>
  </si>
  <si>
    <t>Бейсболка AMERICAN NEEDLE арт. 43027A-KCM Kansas City Monarchs Ballpark NL (красный) {red}</t>
  </si>
  <si>
    <t>43027A-KCM Kansas City Monarchs Ballpark NL</t>
  </si>
  <si>
    <t>06-249-09-00</t>
  </si>
  <si>
    <t>Бейсболка AMERICAN NEEDLE арт. 43062A-DRW Detroit Red Wings U2 Original 6 NHL (черный) {black}</t>
  </si>
  <si>
    <t>43062A-DRW Detroit Red Wings U2 Original 6 NHL</t>
  </si>
  <si>
    <t>06-250-09-00</t>
  </si>
  <si>
    <t>Бейсболка AMERICAN NEEDLE арт. 43062A-NYR New York Rangers U2 Original 6 NHL (черный) {black}</t>
  </si>
  <si>
    <t>43062A-NYR New York Rangers U2 Original 6 NHL</t>
  </si>
  <si>
    <t>06-251-72-00</t>
  </si>
  <si>
    <t>Бейсболка AMERICAN NEEDLE арт. 43082A-DRW Detroit Red Wings Dyer NHL (красный / черный) {red-black}</t>
  </si>
  <si>
    <t>43082A-DRW Detroit Red Wings Dyer NHL</t>
  </si>
  <si>
    <t>06-252-10-00</t>
  </si>
  <si>
    <t>Бейсболка AMERICAN NEEDLE арт. 43082A-LAK Los Angeles Kings Dyer NHL (черный / серый) {black-chr}</t>
  </si>
  <si>
    <t>43082A-LAK Los Angeles Kings Dyer NHL</t>
  </si>
  <si>
    <t>black-chr</t>
  </si>
  <si>
    <t>06-253-45-00</t>
  </si>
  <si>
    <t>Бейсболка AMERICAN NEEDLE арт. 43082A-NYI New York Islanders Dyer NHL (синий / оранжевый) {blorng}</t>
  </si>
  <si>
    <t>43082A-NYI New York Islanders Dyer NHL</t>
  </si>
  <si>
    <t>blorng</t>
  </si>
  <si>
    <t>06-254-19-00</t>
  </si>
  <si>
    <t>Бейсболка AMERICAN NEEDLE арт. 43300A-MALI Malibu Board Shorts (голубой) {blue}</t>
  </si>
  <si>
    <t>43300A-MALI Malibu Board Shorts</t>
  </si>
  <si>
    <t>06-255-09-00</t>
  </si>
  <si>
    <t>Бейсболка AMERICAN NEEDLE арт. 43300C-LOSA Los Angeles Board Shorts (черный) {black}</t>
  </si>
  <si>
    <t>43300C-LOSA Los Angeles Board Shorts</t>
  </si>
  <si>
    <t>06-256-69-00</t>
  </si>
  <si>
    <t>Бейсболка AMERICAN NEEDLE арт. 43352A-BBR Boston Bruins Hanover NHL (темно-серый / желтый) {blk-gold}</t>
  </si>
  <si>
    <t>43352A-BBR Boston Bruins Hanover NHL</t>
  </si>
  <si>
    <t>blk-gold</t>
  </si>
  <si>
    <t>06-257-89-00</t>
  </si>
  <si>
    <t>Бейсболка AMERICAN NEEDLE арт. 43352A-LAK Los Angeles Kings Hanover NHL (темно-серый / серый) {blk-grey}</t>
  </si>
  <si>
    <t>43352A-LAK Los Angeles Kings Hanover NHL</t>
  </si>
  <si>
    <t>blk-grey</t>
  </si>
  <si>
    <t>06-258-32-00</t>
  </si>
  <si>
    <t>Бейсболка AMERICAN NEEDLE арт. 43352A-NAP Nashville Predators Hanover NHL (темно-синий / желтый) {navy-gold}</t>
  </si>
  <si>
    <t>43352A-NAP Nashville Predators Hanover NHL</t>
  </si>
  <si>
    <t>navy-gold</t>
  </si>
  <si>
    <t>06-259-05-00</t>
  </si>
  <si>
    <t>Бейсболка AMERICAN NEEDLE арт. 43422A-LAK Los Angeles Kings Ravenswood NHL (темно-серый) {ivch}</t>
  </si>
  <si>
    <t>43422A-LAK Los Angeles Kings Ravenswood NHL</t>
  </si>
  <si>
    <t>ivch</t>
  </si>
  <si>
    <t>06-260-80-00</t>
  </si>
  <si>
    <t>Бейсболка AMERICAN NEEDLE арт. 43572A-LAK Los Angeles Kings United NHL (кремовый / черный) {ivbk}</t>
  </si>
  <si>
    <t>43572A-LAK Los Angeles Kings United NHL</t>
  </si>
  <si>
    <t>06-261-80-00</t>
  </si>
  <si>
    <t>Бейсболка AMERICAN NEEDLE арт. 43572A-MNW Minnesota Wild United NHL (кремовый / черный) {ivbk}</t>
  </si>
  <si>
    <t>43572A-MNW Minnesota Wild United NHL</t>
  </si>
  <si>
    <t>06-262-38-00</t>
  </si>
  <si>
    <t>Бейсболка AMERICAN NEEDLE арт. 43572A-NYR New York Rangers United NHL (бежевый / синий) {ivrl}</t>
  </si>
  <si>
    <t>43572A-NYR New York Rangers United NHL</t>
  </si>
  <si>
    <t>06-263-72-00</t>
  </si>
  <si>
    <t>Бейсболка AMERICAN NEEDLE арт. 43592A-DRW Detroit Red Wings Gunner NHL (черный / красный) {black-red}</t>
  </si>
  <si>
    <t>43592A-DRW Detroit Red Wings Gunner NHL</t>
  </si>
  <si>
    <t>06-264-89-00</t>
  </si>
  <si>
    <t>Бейсболка AMERICAN NEEDLE арт. 43592A-LAK Los Angeles Kings Gunner NHL (темно-серый / серый) {black-grey}</t>
  </si>
  <si>
    <t>43592A-LAK Los Angeles Kings Gunner NHL</t>
  </si>
  <si>
    <t>black-grey</t>
  </si>
  <si>
    <t>06-265-72-00</t>
  </si>
  <si>
    <t>Бейсболка AMERICAN NEEDLE арт. 43592A-NYR New York Rangers Gunner NHL (красный / синий) {red-royal}</t>
  </si>
  <si>
    <t>43592A-NYR New York Rangers Gunner NHL</t>
  </si>
  <si>
    <t>red-royal</t>
  </si>
  <si>
    <t>06-266-94-00</t>
  </si>
  <si>
    <t>Бейсболка AMERICAN NEEDLE арт. 43642A-DRW Detroit Red Wings White Out NHL (белый / красный) {white-red}</t>
  </si>
  <si>
    <t>43642A-DRW Detroit Red Wings White Out NHL</t>
  </si>
  <si>
    <t>white-red</t>
  </si>
  <si>
    <t>06-267-38-00</t>
  </si>
  <si>
    <t>Бейсболка AMERICAN NEEDLE арт. 43642A-NYR New York Rangers White Out NHL (белый / синий) {white-royal}</t>
  </si>
  <si>
    <t>43642A-NYR New York Rangers White Out NHL</t>
  </si>
  <si>
    <t>white-royal</t>
  </si>
  <si>
    <t>06-268-18-00</t>
  </si>
  <si>
    <t>Бейсболка AMERICAN NEEDLE арт. 43672A-CBH Chicago Blackhawks Stafford NHL (красный) {red}</t>
  </si>
  <si>
    <t>43672A-CBH Chicago Blackhawks Stafford NHL</t>
  </si>
  <si>
    <t>06-269-18-00</t>
  </si>
  <si>
    <t>Бейсболка AMERICAN NEEDLE арт. 43672A-DRW Detroit Red Wings Stafford NHL (красный) {red}</t>
  </si>
  <si>
    <t>43672A-DRW Detroit Red Wings Stafford NHL</t>
  </si>
  <si>
    <t>06-270-16-00</t>
  </si>
  <si>
    <t>Бейсболка AMERICAN NEEDLE арт. 43672A-NAP Nashville Predators Stafford NHL (темно-синий) {navy}</t>
  </si>
  <si>
    <t>43672A-NAP Nashville Predators Stafford NHL</t>
  </si>
  <si>
    <t>06-271-06-00</t>
  </si>
  <si>
    <t>Бейсболка AMERICAN NEEDLE арт. 43672A-NYR New York Rangers Stafford NHL (синий) {royal}</t>
  </si>
  <si>
    <t>43672A-NYR New York Rangers Stafford NHL</t>
  </si>
  <si>
    <t>06-272-95-00</t>
  </si>
  <si>
    <t>Бейсболка AMERICAN NEEDLE арт. 43682A-CBH Chicago Blackhawks Chromel NHL (красный / серый) {red}</t>
  </si>
  <si>
    <t>43682A-CBH Chicago Blackhawks Chromel NHL</t>
  </si>
  <si>
    <t>06-273-95-00</t>
  </si>
  <si>
    <t>Бейсболка AMERICAN NEEDLE арт. 43682A-DRW Detroit Red Wings Chromel NHL (красный / серый) {red}</t>
  </si>
  <si>
    <t>43682A-DRW Detroit Red Wings Chromel NHL</t>
  </si>
  <si>
    <t>06-274-10-00</t>
  </si>
  <si>
    <t>Бейсболка AMERICAN NEEDLE арт. 43682A-LAK Los Angeles Kings Chromel NHL (черный / серый) {black}</t>
  </si>
  <si>
    <t>43682A-LAK Los Angeles Kings Chromel NHL</t>
  </si>
  <si>
    <t>06-275-45-00</t>
  </si>
  <si>
    <t>Бейсболка AMERICAN NEEDLE арт. 43682A-NYR New York Rangers Chromel NHL (синий / серый) {royal}</t>
  </si>
  <si>
    <t>43682A-NYR New York Rangers Chromel NHL</t>
  </si>
  <si>
    <t>06-276-68-00</t>
  </si>
  <si>
    <t>Бейсболка AMERICAN NEEDLE арт. 43682A-PHF Philadelphia Flyers Chromel NHL (оранжевый / серый) {orange}</t>
  </si>
  <si>
    <t>43682A-PHF Philadelphia Flyers Chromel NHL</t>
  </si>
  <si>
    <t>06-277-75-00</t>
  </si>
  <si>
    <t>Бейсболка AMERICAN NEEDLE арт. 43692A-NHL Original 6 Sundown NHL (черный / камуфляж) {black-camo}</t>
  </si>
  <si>
    <t>43692A-NHL Original 6 Sundown NHL</t>
  </si>
  <si>
    <t>black-camo</t>
  </si>
  <si>
    <t>06-278-72-00</t>
  </si>
  <si>
    <t>Бейсболка AMERICAN NEEDLE арт. 43732A-CAH Carolina Hurricanes Blockhead NHL (черный / красный) {black-red}</t>
  </si>
  <si>
    <t>43732A-CAH Carolina Hurricanes Blockhead NHL</t>
  </si>
  <si>
    <t>06-279-33-00</t>
  </si>
  <si>
    <t>Бейсболка AMERICAN NEEDLE арт. 43732A-MNW Minnesota Wild Blockhead NHL (черный / зеленый) {black-green}</t>
  </si>
  <si>
    <t>43732A-MNW Minnesota Wild Blockhead NHL</t>
  </si>
  <si>
    <t>black-green</t>
  </si>
  <si>
    <t>06-280-18-00</t>
  </si>
  <si>
    <t>Бейсболка AMERICAN NEEDLE арт. 43870A-HTC Hiroshima Carp Hepcat NLP (красный) {red}</t>
  </si>
  <si>
    <t>43870A-HTC Hiroshima Carp Hepcat NLP</t>
  </si>
  <si>
    <t>06-281-16-00</t>
  </si>
  <si>
    <t>Бейсболка AMERICAN NEEDLE арт. 43870A-KCK Kansas City Katz Hepcat MILB (темно-синий) {navy}</t>
  </si>
  <si>
    <t>43870A-KCK Kansas City Katz Hepcat MILB</t>
  </si>
  <si>
    <t>06-282-16-00</t>
  </si>
  <si>
    <t>Бейсболка AMERICAN NEEDLE арт. 43870A-WHA Chicago Whales Hepcat MILB (темно-синий) {navy}</t>
  </si>
  <si>
    <t>43870A-WHA Chicago Whales Hepcat MILB</t>
  </si>
  <si>
    <t>06-283-16-00</t>
  </si>
  <si>
    <t>Бейсболка AMERICAN NEEDLE арт. 43870A-YOW Yokohama Whales Hepcat NLP (темно-синий) {navy}</t>
  </si>
  <si>
    <t>43870A-YOW Yokohama Whales Hepcat NLP</t>
  </si>
  <si>
    <t>06-284-16-00</t>
  </si>
  <si>
    <t>Бейсболка AMERICAN NEEDLE арт. 43877A-ASE Austin Senators Hepcat MILB (темно-синий) {navy}</t>
  </si>
  <si>
    <t>43877A-ASE Austin Senators Hepcat MILB</t>
  </si>
  <si>
    <t>06-285-16-00</t>
  </si>
  <si>
    <t>Бейсболка AMERICAN NEEDLE арт. 43877A-SER Seattle Rainiers Hepcat MILB (темно-синий) {navy}</t>
  </si>
  <si>
    <t>43877A-SER Seattle Rainiers Hepcat MILB</t>
  </si>
  <si>
    <t>06-286-16-00</t>
  </si>
  <si>
    <t>Бейсболка AMERICAN NEEDLE арт. 43910A-CHGO City of Chicago Iconic (темно-синий) {navy}</t>
  </si>
  <si>
    <t>43910A-CHGO City of Chicago Iconic</t>
  </si>
  <si>
    <t>06-286-17-00</t>
  </si>
  <si>
    <t>Бейсболка AMERICAN NEEDLE арт. 43910A-CHGO City of Chicago Iconic (белый) {white}</t>
  </si>
  <si>
    <t>06-287-19-00</t>
  </si>
  <si>
    <t>Бейсболка AMERICAN NEEDLE арт. 43910A-GNP Glacier National Park Iconic (голубой) {seafoam}</t>
  </si>
  <si>
    <t>43910A-GNP Glacier National Park Iconic</t>
  </si>
  <si>
    <t>06-288-07-00</t>
  </si>
  <si>
    <t>Бейсболка AMERICAN NEEDLE арт. 43910A-YONP Yosemite National Park Iconic (темно-зеленый) {green}</t>
  </si>
  <si>
    <t>43910A-YONP Yosemite National Park Iconic</t>
  </si>
  <si>
    <t>06-289-18-00</t>
  </si>
  <si>
    <t>Бейсболка AMERICAN NEEDLE арт. 43912A-DRW Detroit Red Wings Iconic NHL (красный) {red}</t>
  </si>
  <si>
    <t>43912A-DRW Detroit Red Wings Iconic NHL</t>
  </si>
  <si>
    <t>06-290-09-00</t>
  </si>
  <si>
    <t>Бейсболка AMERICAN NEEDLE арт. 43912A-LAK Los Angeles Kings Iconic NHL (черный) {black}</t>
  </si>
  <si>
    <t>43912A-LAK Los Angeles Kings Iconic NHL</t>
  </si>
  <si>
    <t>06-291-06-00</t>
  </si>
  <si>
    <t>Бейсболка AMERICAN NEEDLE арт. 43912A-NYR New York Rangers Iconic NHL (синий) {royal}</t>
  </si>
  <si>
    <t>43912A-NYR New York Rangers Iconic NHL</t>
  </si>
  <si>
    <t>06-292-09-00</t>
  </si>
  <si>
    <t>Бейсболка AMERICAN NEEDLE арт. 43912A-VGK Vegas Golden Knights Iconic NHL (черный) {black}</t>
  </si>
  <si>
    <t>43912A-VGK Vegas Golden Knights Iconic NHL</t>
  </si>
  <si>
    <t>06-293-09-00</t>
  </si>
  <si>
    <t>Бейсболка AMERICAN NEEDLE арт. 43942A-LAK Los Angeles Kings Elston NHL (черный) {black}</t>
  </si>
  <si>
    <t>43942A-LAK Los Angeles Kings Elston NHL</t>
  </si>
  <si>
    <t>06-294-06-00</t>
  </si>
  <si>
    <t>Бейсболка AMERICAN NEEDLE арт. 43942A-NYR New York Rangers Elston NHL (синий) {royal}</t>
  </si>
  <si>
    <t>43942A-NYR New York Rangers Elston NHL</t>
  </si>
  <si>
    <t>06-295-72-00</t>
  </si>
  <si>
    <t>Бейсболка AMERICAN NEEDLE арт. 44612A-CBH Chicago Blackhawks Cross Fade NHL (черный / красный) {black-red}</t>
  </si>
  <si>
    <t>44612A-CBH Chicago Blackhawks Cross Fade NHL</t>
  </si>
  <si>
    <t>06-296-21-00</t>
  </si>
  <si>
    <t>Бейсболка AMERICAN NEEDLE арт. 44612A-NYR New York Rangers Cross Fade NHL (синий / красный) {royal-red}</t>
  </si>
  <si>
    <t>44612A-NYR New York Rangers Cross Fade NHL</t>
  </si>
  <si>
    <t>06-297-60-00</t>
  </si>
  <si>
    <t>Бейсболка AMERICAN NEEDLE арт. 44700A-TX Texas Micro Icon (кремовый / темно-синий) {ivnv}</t>
  </si>
  <si>
    <t>44700A-TX Texas Micro Icon</t>
  </si>
  <si>
    <t>ivnv</t>
  </si>
  <si>
    <t>06-298-70-00</t>
  </si>
  <si>
    <t>Бейсболка AMERICAN NEEDLE арт. 44732A-VGK Vegas Golden Knights Roughage NHL (черный / золотой) {bkgld}</t>
  </si>
  <si>
    <t>44732A-VGK Vegas Golden Knights Roughage NHL</t>
  </si>
  <si>
    <t>06-299-16-00</t>
  </si>
  <si>
    <t>Бейсболка AMERICAN NEEDLE арт. 44740A-CPL Cerveceria Polar Archive CABL (темно-синий) {navy}</t>
  </si>
  <si>
    <t>44740A-CPL Cerveceria Polar Archive CABL</t>
  </si>
  <si>
    <t>06-300-70-00</t>
  </si>
  <si>
    <t>Бейсболка AMERICAN NEEDLE арт. 44740A-DUE Duluth Eskimos Archive NFL (белый / темно-синий) {ivnv}</t>
  </si>
  <si>
    <t>44740A-DUE Duluth Eskimos Archive NFL</t>
  </si>
  <si>
    <t>06-301-09-00</t>
  </si>
  <si>
    <t>Бейсболка AMERICAN NEEDLE арт. 44740A-HTI Hanshin Tigers Archive NPL (черный) {black}</t>
  </si>
  <si>
    <t>44740A-HTI Hanshin Tigers Archive NPL</t>
  </si>
  <si>
    <t>06-302-09-00</t>
  </si>
  <si>
    <t>Бейсболка AMERICAN NEEDLE арт. 44740A-LABL Los Angeles Blades Archive NHL (черный) {black}</t>
  </si>
  <si>
    <t>44740A-LABL Los Angeles Blades Archive NHL</t>
  </si>
  <si>
    <t>06-303-16-00</t>
  </si>
  <si>
    <t>Бейсболка AMERICAN NEEDLE арт. 44740A-LOS Los Angeles Angels Archive MILB (темно-синий) {navy}</t>
  </si>
  <si>
    <t>44740A-LOS Los Angeles Angels Archive MILB</t>
  </si>
  <si>
    <t>06-304-39-00</t>
  </si>
  <si>
    <t>Бейсболка AMERICAN NEEDLE арт. 44740A-STE Saint Louis Terriers Archive MILB (кремовый / темно-синий) {stnv}</t>
  </si>
  <si>
    <t>44740A-STE Saint Louis Terriers Archive MILB</t>
  </si>
  <si>
    <t>06-305-09-00</t>
  </si>
  <si>
    <t>Бейсболка AMERICAN NEEDLE арт. 44740A-YOG Yomiuri Giants Archive NPL (черный) {black}</t>
  </si>
  <si>
    <t>44740A-YOG Yomiuri Giants Archive NPL</t>
  </si>
  <si>
    <t>06-306-72-00</t>
  </si>
  <si>
    <t>Бейсболка AMERICAN NEEDLE арт. 44747A-BBB Birmingham Black Barons Archive NL (черный / красный) {bkrd}</t>
  </si>
  <si>
    <t>44747A-BBB Birmingham Black Barons Archive NL</t>
  </si>
  <si>
    <t>bkrd</t>
  </si>
  <si>
    <t>06-307-10-00</t>
  </si>
  <si>
    <t>Бейсболка AMERICAN NEEDLE арт. 44747A-DEC Detroit Cubs Archive NL (серый / черный) {grbk}</t>
  </si>
  <si>
    <t>44747A-DEC Detroit Cubs Archive NL</t>
  </si>
  <si>
    <t>grbk</t>
  </si>
  <si>
    <t>06-308-06-00</t>
  </si>
  <si>
    <t>Бейсболка AMERICAN NEEDLE арт. 44747A-DUB Durham Bulls Archive MILB (синий) {royal}</t>
  </si>
  <si>
    <t>44747A-DUB Durham Bulls Archive MILB</t>
  </si>
  <si>
    <t>06-309-55-00</t>
  </si>
  <si>
    <t>Бейсболка AMERICAN NEEDLE арт. 44747A-HOS Hollywood Stars Archive MILB (серый / темно-синий) {grey-navy}</t>
  </si>
  <si>
    <t>44747A-HOS Hollywood Stars Archive MILB</t>
  </si>
  <si>
    <t>grey-navy</t>
  </si>
  <si>
    <t>06-310-18-00</t>
  </si>
  <si>
    <t>Бейсболка AMERICAN NEEDLE арт. 44747A-KCAN Kansas City All Nations Archive IBL (темно-красный) {dark red}</t>
  </si>
  <si>
    <t>44747A-KCAN Kansas City All Nations Archive IBL</t>
  </si>
  <si>
    <t>06-311-16-00</t>
  </si>
  <si>
    <t>Бейсболка AMERICAN NEEDLE арт. 44747A-MILB Minor League Baseball Archive MILB (темно-синий) {navy}</t>
  </si>
  <si>
    <t>44747A-MILB Minor League Baseball Archive MILB</t>
  </si>
  <si>
    <t>06-312-91-00</t>
  </si>
  <si>
    <t>Бейсболка AMERICAN NEEDLE арт. 44747A-MOU Moultrie Colt .22s Archive MILB (темно-синий / оранжевый) {nvor}</t>
  </si>
  <si>
    <t>44747A-MOU Moultrie Colt .22s Archive MILB</t>
  </si>
  <si>
    <t>06-313-09-00</t>
  </si>
  <si>
    <t>Бейсболка AMERICAN NEEDLE арт. 44747A-NBHOF National Baseball Hall of Fame MILB (черный) {black}</t>
  </si>
  <si>
    <t>44747A-NBHOF National Baseball Hall of Fame MILB</t>
  </si>
  <si>
    <t>06-314-16-00</t>
  </si>
  <si>
    <t>Бейсболка AMERICAN NEEDLE арт. 44747A-SAF San Francisco Seals Archive MILB (темно-синий) {navy}</t>
  </si>
  <si>
    <t>44747A-SAF San Francisco Seals Archive MILB</t>
  </si>
  <si>
    <t>06-315-16-00</t>
  </si>
  <si>
    <t>Бейсболка AMERICAN NEEDLE арт. 44747A-SER Seattle Rainiers Archive MILB (темно-синий) {navy}</t>
  </si>
  <si>
    <t>44747A-SER Seattle Rainiers Archive MILB</t>
  </si>
  <si>
    <t>06-316-06-00</t>
  </si>
  <si>
    <t>Бейсболка AMERICAN NEEDLE арт. 44747A-SLS Saint Louis Stars Archive NL (синий) {royal}</t>
  </si>
  <si>
    <t>44747A-SLS Saint Louis Stars Archive NL</t>
  </si>
  <si>
    <t>06-317-06-00</t>
  </si>
  <si>
    <t>Бейсболка AMERICAN NEEDLE арт. 44747A-SPS Saint Paul Saints Archive MILB (синий) {royal}</t>
  </si>
  <si>
    <t>44747A-SPS Saint Paul Saints Archive MILB</t>
  </si>
  <si>
    <t>06-318-79-00</t>
  </si>
  <si>
    <t>Бейсболка AMERICAN NEEDLE арт. 44890E-CALI California Valin (синий / белый / красный) {rlwtrd}</t>
  </si>
  <si>
    <t>44890E-CALI California Valin</t>
  </si>
  <si>
    <t>85% нейлон - 15% спандекс</t>
  </si>
  <si>
    <t>rlwtrd</t>
  </si>
  <si>
    <t>06-319-19-00</t>
  </si>
  <si>
    <t>Бейсболка AMERICAN NEEDLE арт. 44900A-NASA Space with NASA Replay (голубой) {light blue}</t>
  </si>
  <si>
    <t>44900A-NASA Space with NASA Replay</t>
  </si>
  <si>
    <t>06-320-06-00</t>
  </si>
  <si>
    <t>Бейсболка AMERICAN NEEDLE арт. 44900A-PUG Pug Replay (синий) {blue}</t>
  </si>
  <si>
    <t>44900A-PUG Pug Replay</t>
  </si>
  <si>
    <t>06-321-09-00</t>
  </si>
  <si>
    <t>Бейсболка AMERICAN NEEDLE арт. 44902A-VGK Vegas Golden Knights Replay NHL (черный) {black}</t>
  </si>
  <si>
    <t>44902A-VGK Vegas Golden Knights Replay NHL</t>
  </si>
  <si>
    <t>06-321-17-00</t>
  </si>
  <si>
    <t>Бейсболка AMERICAN NEEDLE арт. 44902A-VGK Vegas Golden Knights Replay NHL (белый) {white}</t>
  </si>
  <si>
    <t>06-322-17-00</t>
  </si>
  <si>
    <t>Бейсболка AMERICAN NEEDLE арт. 44950A-CAUL Cauliflower Foodie Slouch (белый) {white}</t>
  </si>
  <si>
    <t>44950A-CAUL Cauliflower Foodie Slouch</t>
  </si>
  <si>
    <t>Food</t>
  </si>
  <si>
    <t>06-323-03-00</t>
  </si>
  <si>
    <t>Бейсболка AMERICAN NEEDLE арт. 44950A-KALE Kale Foodie Slouch (оливковый) {cedar}</t>
  </si>
  <si>
    <t>44950A-KALE Kale Foodie Slouch</t>
  </si>
  <si>
    <t>cedar</t>
  </si>
  <si>
    <t>06-324-18-00</t>
  </si>
  <si>
    <t>Бейсболка AMERICAN NEEDLE арт. 44950A-KETC Ketchup Foodie Slouch (красный) {red}</t>
  </si>
  <si>
    <t>44950A-KETC Ketchup Foodie Slouch</t>
  </si>
  <si>
    <t>06-325-02-00</t>
  </si>
  <si>
    <t>Бейсболка AMERICAN NEEDLE арт. 44950A-MAYO Mayo Foodie Slouch (бежевый) {beige}</t>
  </si>
  <si>
    <t>44950A-MAYO Mayo Foodie Slouch</t>
  </si>
  <si>
    <t>06-326-20-00</t>
  </si>
  <si>
    <t>Бейсболка AMERICAN NEEDLE арт. 44950A-MUST Mustard Foodie Slouch (желтый) {yellow}</t>
  </si>
  <si>
    <t>44950A-MUST Mustard Foodie Slouch</t>
  </si>
  <si>
    <t>yellow</t>
  </si>
  <si>
    <t>06-327-46-00</t>
  </si>
  <si>
    <t>Бейсболка AMERICAN NEEDLE арт. 44960B-CA California Riptide Valin (белый / голубой) {wtbl}</t>
  </si>
  <si>
    <t>44960B-CA California Riptide Valin</t>
  </si>
  <si>
    <t>wtbl</t>
  </si>
  <si>
    <t>06-328-09-00</t>
  </si>
  <si>
    <t>Бейсболка AMERICAN NEEDLE арт. 45020A-AMER Americana Conrad (черный) {black}</t>
  </si>
  <si>
    <t>45020A-AMER Americana Conrad</t>
  </si>
  <si>
    <t>06-328-16-00</t>
  </si>
  <si>
    <t>Бейсболка AMERICAN NEEDLE арт. 45020A-AMER Americana Conrad (темно-синий) {navy}</t>
  </si>
  <si>
    <t>06-329-09-00</t>
  </si>
  <si>
    <t>Бейсболка AMERICAN NEEDLE арт. 45020A-USA United States Conrad  (черный) {black}</t>
  </si>
  <si>
    <t>45020A-USA United States Conrad</t>
  </si>
  <si>
    <t>06-329-16-00</t>
  </si>
  <si>
    <t>Бейсболка AMERICAN NEEDLE арт. 45020A-USA United States Conrad  (темно-синий) {navy}</t>
  </si>
  <si>
    <t>06-330-01-00</t>
  </si>
  <si>
    <t>Бейсболка AMERICAN NEEDLE арт. GM-1901A Chevrolet New Raglan (светло-серый) {chrome}</t>
  </si>
  <si>
    <t>GM-1901A Chevrolet New Raglan</t>
  </si>
  <si>
    <t>chrome</t>
  </si>
  <si>
    <t>06-331-18-00</t>
  </si>
  <si>
    <t>Бейсболка AMERICAN NEEDLE арт. GM-1909D Corvette Raglan Bones (красный) {red}</t>
  </si>
  <si>
    <t>GM-1909D Corvette Raglan Bones</t>
  </si>
  <si>
    <t>06-332-18-00</t>
  </si>
  <si>
    <t>Шапка AMERICAN NEEDLE арт. 42792A-CBH Chicago Blackhawks Breezy NHL (красный / белый) {red-black}</t>
  </si>
  <si>
    <t>42792A-CBH Chicago Blackhawks Breezy NHL</t>
  </si>
  <si>
    <t>06-333-88-00</t>
  </si>
  <si>
    <t>Бейсболка AMERICAN NEEDLE арт. 44612A-LAK Los Angeles Kings Cross Fade NHL (черный / серый) {black-grey}</t>
  </si>
  <si>
    <t>44612A-LAK Los Angeles Kings Cross Fade NHL</t>
  </si>
  <si>
    <t>19H001A-AMGC</t>
  </si>
  <si>
    <t>19H001A-CANYON</t>
  </si>
  <si>
    <t>19H001A-CHGOO</t>
  </si>
  <si>
    <t>19H001A-DESERT</t>
  </si>
  <si>
    <t>19H001A-GOLFD</t>
  </si>
  <si>
    <t>19H001A-HAWAO</t>
  </si>
  <si>
    <t>19H001A-MUSICC</t>
  </si>
  <si>
    <t>19H001A-TUSCON</t>
  </si>
  <si>
    <t>19H005A-CONDOR</t>
  </si>
  <si>
    <t>19H005A-FLCO</t>
  </si>
  <si>
    <t>19H005A-HAWAO</t>
  </si>
  <si>
    <t>19H005A-LAOPEN</t>
  </si>
  <si>
    <t>19H005A-SWEET</t>
  </si>
  <si>
    <t>19H006A-DESERT</t>
  </si>
  <si>
    <t>19H006A-HAWAO</t>
  </si>
  <si>
    <t>19H006A-TXO</t>
  </si>
  <si>
    <t>20001A-AUSTINMO</t>
  </si>
  <si>
    <t>20001A-BADCO</t>
  </si>
  <si>
    <t>20001A-BOWI</t>
  </si>
  <si>
    <t>20001A-MILES</t>
  </si>
  <si>
    <t>20001A-NWILKES</t>
  </si>
  <si>
    <t>20001A-PINKF</t>
  </si>
  <si>
    <t>20001A-POLICE</t>
  </si>
  <si>
    <t>20001A-SAUGUS</t>
  </si>
  <si>
    <t>20001A-SBEAR</t>
  </si>
  <si>
    <t>20001A-WOODSTK</t>
  </si>
  <si>
    <t>20001B-ACDC</t>
  </si>
  <si>
    <t>20001B-BOWI</t>
  </si>
  <si>
    <t>20001B-PINKF</t>
  </si>
  <si>
    <t>20001B-SBEAR</t>
  </si>
  <si>
    <t>21005A-ASE</t>
  </si>
  <si>
    <t>21005A-BAT</t>
  </si>
  <si>
    <t>21005A-BBB</t>
  </si>
  <si>
    <t>21005A-BEG</t>
  </si>
  <si>
    <t>21005A-BRG</t>
  </si>
  <si>
    <t>21005A-BTT</t>
  </si>
  <si>
    <t>21005A-CBS</t>
  </si>
  <si>
    <t>21005A-CCU</t>
  </si>
  <si>
    <t>21005A-CHO</t>
  </si>
  <si>
    <t>21005A-CUG</t>
  </si>
  <si>
    <t>21005A-DTW</t>
  </si>
  <si>
    <t>21005A-DWE</t>
  </si>
  <si>
    <t>21005A-HOG</t>
  </si>
  <si>
    <t>21005A-KCP</t>
  </si>
  <si>
    <t>21005A-LAK</t>
  </si>
  <si>
    <t>21005A-LOS</t>
  </si>
  <si>
    <t>21005A-MMAR</t>
  </si>
  <si>
    <t>21005A-NBY</t>
  </si>
  <si>
    <t>21005A-NHL</t>
  </si>
  <si>
    <t>21005A-NYC</t>
  </si>
  <si>
    <t>21005A-SAF</t>
  </si>
  <si>
    <t>21005A-STE</t>
  </si>
  <si>
    <t>21005A-WHA</t>
  </si>
  <si>
    <t>21005C-LOS</t>
  </si>
  <si>
    <t>21006A-LOS</t>
  </si>
  <si>
    <t>21006A-NYC</t>
  </si>
  <si>
    <t>21010A-CHEVELLE</t>
  </si>
  <si>
    <t>21014A-CA</t>
  </si>
  <si>
    <t>21015A-ARCADE</t>
  </si>
  <si>
    <t>21015A-CALI</t>
  </si>
  <si>
    <t>21015A-HTC</t>
  </si>
  <si>
    <t>21015A-HTI</t>
  </si>
  <si>
    <t>21015A-KING</t>
  </si>
  <si>
    <t>21015A-KNIGHT</t>
  </si>
  <si>
    <t>21015A-PEAC</t>
  </si>
  <si>
    <t>21015A-SAA</t>
  </si>
  <si>
    <t>21015A-TIKI</t>
  </si>
  <si>
    <t>21015A-YOG</t>
  </si>
  <si>
    <t>21015B-YOW</t>
  </si>
  <si>
    <t>21016A-GSMT</t>
  </si>
  <si>
    <t>21016A-OLNP</t>
  </si>
  <si>
    <t>21016A-SAGNP</t>
  </si>
  <si>
    <t>21016A-YNP</t>
  </si>
  <si>
    <t>21019A-ACDC</t>
  </si>
  <si>
    <t>21019A-BOWI</t>
  </si>
  <si>
    <t>21019A-CALI</t>
  </si>
  <si>
    <t>21019A-CBH</t>
  </si>
  <si>
    <t>21019A-CHEVY</t>
  </si>
  <si>
    <t>21019A-DAS</t>
  </si>
  <si>
    <t>21019A-FEND</t>
  </si>
  <si>
    <t>21019A-HTC</t>
  </si>
  <si>
    <t>21019A-LAK</t>
  </si>
  <si>
    <t>21019A-LOS</t>
  </si>
  <si>
    <t>21019A-MNW</t>
  </si>
  <si>
    <t>21019A-NAP</t>
  </si>
  <si>
    <t>21019A-NASA</t>
  </si>
  <si>
    <t>21019A-PCO</t>
  </si>
  <si>
    <t>21019A-PINKF</t>
  </si>
  <si>
    <t>21019A-QND</t>
  </si>
  <si>
    <t>21019A-SAF</t>
  </si>
  <si>
    <t>21019A-SBEAR</t>
  </si>
  <si>
    <t>21019A-TML</t>
  </si>
  <si>
    <t>21019A-USA</t>
  </si>
  <si>
    <t>21019A-VAC</t>
  </si>
  <si>
    <t>21019A-VGK</t>
  </si>
  <si>
    <t>21019A-YOG</t>
  </si>
  <si>
    <t>21019B-NASA</t>
  </si>
  <si>
    <t>21021A-DVNP</t>
  </si>
  <si>
    <t>36670A-SBEAR</t>
  </si>
  <si>
    <t>36672A-LAK</t>
  </si>
  <si>
    <t>36672A-MNW</t>
  </si>
  <si>
    <t>36672A-NHL</t>
  </si>
  <si>
    <t>36672A-SJS</t>
  </si>
  <si>
    <t>400A1V-CHF</t>
  </si>
  <si>
    <t>400A1V-CXG</t>
  </si>
  <si>
    <t>400A1V-HAI</t>
  </si>
  <si>
    <t>400A1V-HOS</t>
  </si>
  <si>
    <t>40742A-CBH</t>
  </si>
  <si>
    <t>40742A-CBJ</t>
  </si>
  <si>
    <t>40742A-HAW</t>
  </si>
  <si>
    <t>40742A-MNW</t>
  </si>
  <si>
    <t>40742A-NAP</t>
  </si>
  <si>
    <t>40742A-SEK</t>
  </si>
  <si>
    <t>40742A-WAC</t>
  </si>
  <si>
    <t>40742B-COA</t>
  </si>
  <si>
    <t>40742B-EDO</t>
  </si>
  <si>
    <t>40742B-LAK</t>
  </si>
  <si>
    <t>40742B-MNW</t>
  </si>
  <si>
    <t>40742B-PCO</t>
  </si>
  <si>
    <t>40742B-TML</t>
  </si>
  <si>
    <t>40742B-VAC</t>
  </si>
  <si>
    <t>40742C-DAS</t>
  </si>
  <si>
    <t>40742D-AMD</t>
  </si>
  <si>
    <t>41150A-NASA</t>
  </si>
  <si>
    <t>41152A-COA</t>
  </si>
  <si>
    <t>41152A-PCO</t>
  </si>
  <si>
    <t>41152B-LAK</t>
  </si>
  <si>
    <t>41152B-TML</t>
  </si>
  <si>
    <t>42050A-YNP</t>
  </si>
  <si>
    <t>42642A-LAK</t>
  </si>
  <si>
    <t>42770A-BAT</t>
  </si>
  <si>
    <t>42772A-CBH</t>
  </si>
  <si>
    <t>42777A-OAO</t>
  </si>
  <si>
    <t>42810A-CALI</t>
  </si>
  <si>
    <t>42932A-NYR</t>
  </si>
  <si>
    <t>42932A-PPN</t>
  </si>
  <si>
    <t>42932C-VGK</t>
  </si>
  <si>
    <t>42960A-CALI</t>
  </si>
  <si>
    <t>42960A-LOSA</t>
  </si>
  <si>
    <t>42960A-RKM</t>
  </si>
  <si>
    <t>42960A-SBEAR</t>
  </si>
  <si>
    <t>42960A-TX</t>
  </si>
  <si>
    <t>42960A-USA</t>
  </si>
  <si>
    <t>42960A-ZNP</t>
  </si>
  <si>
    <t>42960B-CALI</t>
  </si>
  <si>
    <t>42960B-SBEAR</t>
  </si>
  <si>
    <t>43020A-HAWA</t>
  </si>
  <si>
    <t>43020A-MALI</t>
  </si>
  <si>
    <t>43020C-NASA</t>
  </si>
  <si>
    <t>43082A-DRW</t>
  </si>
  <si>
    <t>43260A-CALI</t>
  </si>
  <si>
    <t>43622A-VGK</t>
  </si>
  <si>
    <t>43692A-NHL</t>
  </si>
  <si>
    <t>43870A-CALI</t>
  </si>
  <si>
    <t>43870A-HTI</t>
  </si>
  <si>
    <t>43870A-KCK</t>
  </si>
  <si>
    <t>43870A-MTEV</t>
  </si>
  <si>
    <t>43870A-NASA</t>
  </si>
  <si>
    <t>43870A-OLNP</t>
  </si>
  <si>
    <t>43870A-SBEAR</t>
  </si>
  <si>
    <t>43877A-ASE</t>
  </si>
  <si>
    <t>43877A-LOS</t>
  </si>
  <si>
    <t>43877A-SAF</t>
  </si>
  <si>
    <t>43910A-BOWI</t>
  </si>
  <si>
    <t>43910A-CALI</t>
  </si>
  <si>
    <t>43910A-GNP</t>
  </si>
  <si>
    <t>43912A-LAK</t>
  </si>
  <si>
    <t>43912A-VGK</t>
  </si>
  <si>
    <t>44590A-TX</t>
  </si>
  <si>
    <t>44740A-ANA</t>
  </si>
  <si>
    <t>44740A-BMARY</t>
  </si>
  <si>
    <t>44740A-BSH</t>
  </si>
  <si>
    <t>44740A-CHF</t>
  </si>
  <si>
    <t>44740A-DAE</t>
  </si>
  <si>
    <t>44740A-GINTON</t>
  </si>
  <si>
    <t>44740A-HTC</t>
  </si>
  <si>
    <t>44740A-KCK</t>
  </si>
  <si>
    <t>44740A-LAA</t>
  </si>
  <si>
    <t>44740A-MANHAT</t>
  </si>
  <si>
    <t>44740A-MJULEP</t>
  </si>
  <si>
    <t>44740A-NAH</t>
  </si>
  <si>
    <t>44740A-OLDFASH</t>
  </si>
  <si>
    <t>44740A-STE</t>
  </si>
  <si>
    <t>44740A-WHA</t>
  </si>
  <si>
    <t>44740A-YOW</t>
  </si>
  <si>
    <t>44742A-OAS</t>
  </si>
  <si>
    <t>44747A-CAG</t>
  </si>
  <si>
    <t>44747A-CNT</t>
  </si>
  <si>
    <t>44747A-KCM</t>
  </si>
  <si>
    <t>44747A-LAW</t>
  </si>
  <si>
    <t>44747A-MILB</t>
  </si>
  <si>
    <t>44747A-MML</t>
  </si>
  <si>
    <t>44747A-MOU</t>
  </si>
  <si>
    <t>44747A-NBY</t>
  </si>
  <si>
    <t>44747A-NYC</t>
  </si>
  <si>
    <t>44747A-OAO</t>
  </si>
  <si>
    <t>44747A-POB</t>
  </si>
  <si>
    <t>44747A-SER</t>
  </si>
  <si>
    <t>44747A-SLS</t>
  </si>
  <si>
    <t>44747B-HOG</t>
  </si>
  <si>
    <t>44747B-NBY</t>
  </si>
  <si>
    <t>44747B-POB</t>
  </si>
  <si>
    <t>44747B-SER</t>
  </si>
  <si>
    <t>44820A-NASA</t>
  </si>
  <si>
    <t>44890D-CALI</t>
  </si>
  <si>
    <t>44930A-CALI</t>
  </si>
  <si>
    <t>45000A-NASA</t>
  </si>
  <si>
    <t>45020A-AMER</t>
  </si>
  <si>
    <t>45020A-CALI</t>
  </si>
  <si>
    <t>45020A-USA</t>
  </si>
  <si>
    <t>AMN-1701A</t>
  </si>
  <si>
    <t>AMN-1701B</t>
  </si>
  <si>
    <t>AMN-1712A</t>
  </si>
  <si>
    <t>FEND-1908A</t>
  </si>
  <si>
    <t>GM-1907B</t>
  </si>
  <si>
    <t>GM-1909B</t>
  </si>
  <si>
    <t>GM-1909C</t>
  </si>
  <si>
    <t>SMU277A-NASA</t>
  </si>
  <si>
    <t>SMU302A-RARO</t>
  </si>
  <si>
    <t>SMU500A-TAHOE</t>
  </si>
  <si>
    <t>khaki</t>
  </si>
  <si>
    <t>grass green</t>
  </si>
  <si>
    <t>lemon ice</t>
  </si>
  <si>
    <t>stone</t>
  </si>
  <si>
    <t>ivory</t>
  </si>
  <si>
    <t>butter yellow</t>
  </si>
  <si>
    <t>classic blue</t>
  </si>
  <si>
    <t>espresso</t>
  </si>
  <si>
    <t>heather gray - black</t>
  </si>
  <si>
    <t>kelly green</t>
  </si>
  <si>
    <t>ivyory-maroon</t>
  </si>
  <si>
    <t>Ivory Black</t>
  </si>
  <si>
    <t>coral</t>
  </si>
  <si>
    <t>pro blue</t>
  </si>
  <si>
    <t>true yellow</t>
  </si>
  <si>
    <t>bay blue</t>
  </si>
  <si>
    <t>light orange</t>
  </si>
  <si>
    <t>emerald</t>
  </si>
  <si>
    <t>vapor blue</t>
  </si>
  <si>
    <t>cinder</t>
  </si>
  <si>
    <t>oxide</t>
  </si>
  <si>
    <t>canopy</t>
  </si>
  <si>
    <t>dark green</t>
  </si>
  <si>
    <t>olive</t>
  </si>
  <si>
    <t>forest green</t>
  </si>
  <si>
    <t>gray-kelly</t>
  </si>
  <si>
    <t>ivory-royal-red</t>
  </si>
  <si>
    <t>ivory-blk-gold</t>
  </si>
  <si>
    <t>black-ivory-smoke blue</t>
  </si>
  <si>
    <t>evergreen ivory</t>
  </si>
  <si>
    <t>ivory-blk-lt hazel</t>
  </si>
  <si>
    <t>chocolate ivory</t>
  </si>
  <si>
    <t>Dark Red</t>
  </si>
  <si>
    <t>deep royal</t>
  </si>
  <si>
    <t>dark royal</t>
  </si>
  <si>
    <t>navy-dk red</t>
  </si>
  <si>
    <t>white - black</t>
  </si>
  <si>
    <t>light olive</t>
  </si>
  <si>
    <t>off white</t>
  </si>
  <si>
    <t>snow white</t>
  </si>
  <si>
    <t>stone-black</t>
  </si>
  <si>
    <t>Корея, республика</t>
  </si>
  <si>
    <t>100% Хлопок</t>
  </si>
  <si>
    <t>58% Полиэстер - 42% Нейлон</t>
  </si>
  <si>
    <t>60% Полиэстер - 40% Шерсть</t>
  </si>
  <si>
    <t>100% Акрил</t>
  </si>
  <si>
    <t>80% Акрил - 20% Шерсть</t>
  </si>
  <si>
    <t>85% Нейлон - 15% Спандекс</t>
  </si>
  <si>
    <t>97% Полиэстер - 3% Спандекс</t>
  </si>
  <si>
    <t>60% Хлопок - 35% Нейлон - 5% Спандекс</t>
  </si>
  <si>
    <t>40% Акрил - 30% Полиэстер - 30% Хлопок</t>
  </si>
  <si>
    <t>Music</t>
  </si>
  <si>
    <t>Drink</t>
  </si>
  <si>
    <t>бейсболка</t>
  </si>
  <si>
    <t>бейсболка с сеточкой</t>
  </si>
  <si>
    <t>LIGHTWEIGHT ROPE</t>
  </si>
  <si>
    <t>DRIFTER</t>
  </si>
  <si>
    <t>LIGHTWEIGHT HEPCAT</t>
  </si>
  <si>
    <t>WASHED SLOUCH</t>
  </si>
  <si>
    <t>BALLPARK</t>
  </si>
  <si>
    <t>ARCHIVE LEGEND</t>
  </si>
  <si>
    <t>Archive Legend - Chicago Blue Stockings</t>
  </si>
  <si>
    <t>Archive Legend - Chicago Orphans</t>
  </si>
  <si>
    <t>Archive Legend - Detroit Wolverines</t>
  </si>
  <si>
    <t>Archive 400 series - LA Angels</t>
  </si>
  <si>
    <t>ARCHIVE 400 SERIES</t>
  </si>
  <si>
    <t>Valin - V GLDN KNT</t>
  </si>
  <si>
    <t>BEACHWOOD</t>
  </si>
  <si>
    <t>MICRO SLOUCH</t>
  </si>
  <si>
    <t>TRAILHEAD</t>
  </si>
  <si>
    <t>CUFFED KNIT</t>
  </si>
  <si>
    <t>CANOPY</t>
  </si>
  <si>
    <t>NEW RAGLIN</t>
  </si>
  <si>
    <t>NEW RAGLAN</t>
  </si>
  <si>
    <t>400 SERIES</t>
  </si>
  <si>
    <t>BLUE LINE</t>
  </si>
  <si>
    <t>RAGLAN BONES</t>
  </si>
  <si>
    <t>PILLOW LINE KNIT</t>
  </si>
  <si>
    <t>BALL GAME</t>
  </si>
  <si>
    <t>NEW TIMER SLOUCH</t>
  </si>
  <si>
    <t>UNITED</t>
  </si>
  <si>
    <t>VALIN</t>
  </si>
  <si>
    <t>Valin - USA</t>
  </si>
  <si>
    <t>Valin - Zion National Park</t>
  </si>
  <si>
    <t>DYER</t>
  </si>
  <si>
    <t>BADGER</t>
  </si>
  <si>
    <t>BANKS</t>
  </si>
  <si>
    <t>SUNDOWN</t>
  </si>
  <si>
    <t>HEPCAT</t>
  </si>
  <si>
    <t>ICONIC</t>
  </si>
  <si>
    <t>DURHAM</t>
  </si>
  <si>
    <t>ARCHIVE</t>
  </si>
  <si>
    <t>Archive Cocktail - Bloody Mary</t>
  </si>
  <si>
    <t>Archive - Dallas Eagles</t>
  </si>
  <si>
    <t>ARCHIVE COCKTAIL</t>
  </si>
  <si>
    <t>Archive Cocktail - Manhattan</t>
  </si>
  <si>
    <t>Archive Cocktail - Old Fashioned</t>
  </si>
  <si>
    <t>Archive - Chi American Giants</t>
  </si>
  <si>
    <t>Archive - Homestead Grays</t>
  </si>
  <si>
    <t>Archive - NY Black Yankees</t>
  </si>
  <si>
    <t>Archive - Portland Beavers</t>
  </si>
  <si>
    <t>Archive - Seattle Rainers</t>
  </si>
  <si>
    <t>HOOVER</t>
  </si>
  <si>
    <t>RIPTIDE VALIN</t>
  </si>
  <si>
    <t>PACE SLOUCH</t>
  </si>
  <si>
    <t>CONRAD</t>
  </si>
  <si>
    <t>06-334-</t>
  </si>
  <si>
    <t>06-335-</t>
  </si>
  <si>
    <t>06-336-</t>
  </si>
  <si>
    <t>06-337-</t>
  </si>
  <si>
    <t>06-338-</t>
  </si>
  <si>
    <t>06-339-</t>
  </si>
  <si>
    <t>06-340-</t>
  </si>
  <si>
    <t>06-341-</t>
  </si>
  <si>
    <t>06-342-</t>
  </si>
  <si>
    <t>06-343-</t>
  </si>
  <si>
    <t>06-344-</t>
  </si>
  <si>
    <t>06-345-</t>
  </si>
  <si>
    <t>06-346-</t>
  </si>
  <si>
    <t>06-347-</t>
  </si>
  <si>
    <t>06-348-</t>
  </si>
  <si>
    <t>06-349-</t>
  </si>
  <si>
    <t>06-350-</t>
  </si>
  <si>
    <t>06-351-</t>
  </si>
  <si>
    <t>06-352-</t>
  </si>
  <si>
    <t>06-353-</t>
  </si>
  <si>
    <t>06-354-</t>
  </si>
  <si>
    <t>06-355-</t>
  </si>
  <si>
    <t>06-356-</t>
  </si>
  <si>
    <t>06-357-</t>
  </si>
  <si>
    <t>06-358-</t>
  </si>
  <si>
    <t>06-359-</t>
  </si>
  <si>
    <t>06-360-</t>
  </si>
  <si>
    <t>06-361-</t>
  </si>
  <si>
    <t>06-362-</t>
  </si>
  <si>
    <t>06-363-</t>
  </si>
  <si>
    <t>06-364-</t>
  </si>
  <si>
    <t>06-365-</t>
  </si>
  <si>
    <t>06-366-</t>
  </si>
  <si>
    <t>06-367-</t>
  </si>
  <si>
    <t>06-368-</t>
  </si>
  <si>
    <t>06-369-</t>
  </si>
  <si>
    <t>06-370-</t>
  </si>
  <si>
    <t>06-371-</t>
  </si>
  <si>
    <t>06-372-</t>
  </si>
  <si>
    <t>06-373-</t>
  </si>
  <si>
    <t>06-374-</t>
  </si>
  <si>
    <t>06-375-</t>
  </si>
  <si>
    <t>06-376-</t>
  </si>
  <si>
    <t>06-377-</t>
  </si>
  <si>
    <t>06-378-</t>
  </si>
  <si>
    <t>06-379-</t>
  </si>
  <si>
    <t>06-380-</t>
  </si>
  <si>
    <t>06-381-</t>
  </si>
  <si>
    <t>06-382-</t>
  </si>
  <si>
    <t>06-383-</t>
  </si>
  <si>
    <t>06-384-</t>
  </si>
  <si>
    <t>06-385-</t>
  </si>
  <si>
    <t>06-386-</t>
  </si>
  <si>
    <t>06-387-</t>
  </si>
  <si>
    <t>06-388-</t>
  </si>
  <si>
    <t>06-389-</t>
  </si>
  <si>
    <t>06-390-</t>
  </si>
  <si>
    <t>06-391-</t>
  </si>
  <si>
    <t>06-392-</t>
  </si>
  <si>
    <t>06-393-</t>
  </si>
  <si>
    <t>06-394-</t>
  </si>
  <si>
    <t>06-395-</t>
  </si>
  <si>
    <t>06-396-</t>
  </si>
  <si>
    <t>06-397-</t>
  </si>
  <si>
    <t>06-398-</t>
  </si>
  <si>
    <t>06-399-</t>
  </si>
  <si>
    <t>06-400-</t>
  </si>
  <si>
    <t>06-401-</t>
  </si>
  <si>
    <t>06-402-</t>
  </si>
  <si>
    <t>06-403-</t>
  </si>
  <si>
    <t>06-404-</t>
  </si>
  <si>
    <t>06-405-</t>
  </si>
  <si>
    <t>06-406-</t>
  </si>
  <si>
    <t>06-407-</t>
  </si>
  <si>
    <t>06-408-</t>
  </si>
  <si>
    <t>06-409-</t>
  </si>
  <si>
    <t>06-410-</t>
  </si>
  <si>
    <t>06-411-</t>
  </si>
  <si>
    <t>06-412-</t>
  </si>
  <si>
    <t>06-413-</t>
  </si>
  <si>
    <t>06-414-</t>
  </si>
  <si>
    <t>06-415-</t>
  </si>
  <si>
    <t>06-416-</t>
  </si>
  <si>
    <t>06-417-</t>
  </si>
  <si>
    <t>06-418-</t>
  </si>
  <si>
    <t>06-419-</t>
  </si>
  <si>
    <t>06-420-</t>
  </si>
  <si>
    <t>06-421-</t>
  </si>
  <si>
    <t>06-422-</t>
  </si>
  <si>
    <t>06-423-</t>
  </si>
  <si>
    <t>06-424-</t>
  </si>
  <si>
    <t>06-425-</t>
  </si>
  <si>
    <t>06-426-</t>
  </si>
  <si>
    <t>06-427-</t>
  </si>
  <si>
    <t>06-428-</t>
  </si>
  <si>
    <t>06-429-</t>
  </si>
  <si>
    <t>06-430-</t>
  </si>
  <si>
    <t>06-431-</t>
  </si>
  <si>
    <t>06-432-</t>
  </si>
  <si>
    <t>06-433-</t>
  </si>
  <si>
    <t>06-434-</t>
  </si>
  <si>
    <t>06-435-</t>
  </si>
  <si>
    <t>06-436-</t>
  </si>
  <si>
    <t>06-437-</t>
  </si>
  <si>
    <t>06-438-</t>
  </si>
  <si>
    <t>06-439-</t>
  </si>
  <si>
    <t>06-440-</t>
  </si>
  <si>
    <t>06-441-</t>
  </si>
  <si>
    <t>06-442-</t>
  </si>
  <si>
    <t>06-443-</t>
  </si>
  <si>
    <t>06-444-</t>
  </si>
  <si>
    <t>06-445-</t>
  </si>
  <si>
    <t>06-446-</t>
  </si>
  <si>
    <t>06-447-</t>
  </si>
  <si>
    <t>06-448-</t>
  </si>
  <si>
    <t>06-449-</t>
  </si>
  <si>
    <t>06-450-</t>
  </si>
  <si>
    <t>06-451-</t>
  </si>
  <si>
    <t>06-452-</t>
  </si>
  <si>
    <t>06-453-</t>
  </si>
  <si>
    <t>06-454-</t>
  </si>
  <si>
    <t>06-455-</t>
  </si>
  <si>
    <t>06-456-</t>
  </si>
  <si>
    <t>06-457-</t>
  </si>
  <si>
    <t>06-458-</t>
  </si>
  <si>
    <t>06-459-</t>
  </si>
  <si>
    <t>06-460-</t>
  </si>
  <si>
    <t>06-461-</t>
  </si>
  <si>
    <t>06-462-</t>
  </si>
  <si>
    <t>06-463-</t>
  </si>
  <si>
    <t>06-464-</t>
  </si>
  <si>
    <t>06-465-</t>
  </si>
  <si>
    <t>06-466-</t>
  </si>
  <si>
    <t>06-467-</t>
  </si>
  <si>
    <t>06-468-</t>
  </si>
  <si>
    <t>06-469-</t>
  </si>
  <si>
    <t>06-470-</t>
  </si>
  <si>
    <t>06-471-</t>
  </si>
  <si>
    <t>06-472-</t>
  </si>
  <si>
    <t>06-473-</t>
  </si>
  <si>
    <t>06-474-</t>
  </si>
  <si>
    <t>06-475-</t>
  </si>
  <si>
    <t>06-476-</t>
  </si>
  <si>
    <t>06-477-</t>
  </si>
  <si>
    <t>06-478-</t>
  </si>
  <si>
    <t>American Golf Classic Lightweight Rope</t>
  </si>
  <si>
    <t>Canyon CC Lightweight Rope</t>
  </si>
  <si>
    <t>Chicago Open Lightweight Rope</t>
  </si>
  <si>
    <t>Desert Classic Lightweight Rope</t>
  </si>
  <si>
    <t>Golf Day Lightweight Rope</t>
  </si>
  <si>
    <t>Hawaiian Open Lightweight Rope</t>
  </si>
  <si>
    <t>Music City Lightweight Rope</t>
  </si>
  <si>
    <t>Tuscon Open Lightweight Rope</t>
  </si>
  <si>
    <t>Condor Drifter</t>
  </si>
  <si>
    <t>Florida Citrus Open Drifter</t>
  </si>
  <si>
    <t>Hawaiian Open Drifter</t>
  </si>
  <si>
    <t>LA Open Drifter</t>
  </si>
  <si>
    <t>Sweet Spot Drifter</t>
  </si>
  <si>
    <t>Desert Classic Lightweight Hepcat</t>
  </si>
  <si>
    <t>Hawaiian Open Lightweight Hepcat</t>
  </si>
  <si>
    <t>Texas Open Lightweight Hepcat</t>
  </si>
  <si>
    <t>Austin Motor Company</t>
  </si>
  <si>
    <t>Bad Co Ballpark</t>
  </si>
  <si>
    <t>BOWIE Ballpark</t>
  </si>
  <si>
    <t>Miles Davis Ballpark</t>
  </si>
  <si>
    <t>North Wilkesboro Speedway</t>
  </si>
  <si>
    <t>Pink Floyd Ballpark</t>
  </si>
  <si>
    <t>The Police Ballpark</t>
  </si>
  <si>
    <t>Saugus Speedway</t>
  </si>
  <si>
    <t>Smokey Bear Washed Slouch</t>
  </si>
  <si>
    <t>Woodstock Ballpark</t>
  </si>
  <si>
    <t>ACDC Ballpark</t>
  </si>
  <si>
    <t>AUSTIN SENATORS Archive Legend</t>
  </si>
  <si>
    <t>Baltimore Terrapins Archive MILB</t>
  </si>
  <si>
    <t>Birmingham Black Barons Archive NL</t>
  </si>
  <si>
    <t>BALT ELITE GIANTS Archive Legend NL</t>
  </si>
  <si>
    <t>BRKLYN ROYAL GIANTS Archive Legend NL</t>
  </si>
  <si>
    <t>Brooklyn Tip-Tops Archive MILB</t>
  </si>
  <si>
    <t>Chicago Blue Stockings Archive MILB</t>
  </si>
  <si>
    <t>Cleveland Cubs Archive Legend NL</t>
  </si>
  <si>
    <t>Chicago Orphans Archive MILB</t>
  </si>
  <si>
    <t>Chicago Union Giants Archive MILB</t>
  </si>
  <si>
    <t>Detroit Wolverines Archive MILB</t>
  </si>
  <si>
    <t>Denv Wht Elephants Archive Legend NL</t>
  </si>
  <si>
    <t>Homestead Grays Archive NL</t>
  </si>
  <si>
    <t>Kansas City Packers Archive MILB</t>
  </si>
  <si>
    <t>LA KINGS Archive Legend NHL</t>
  </si>
  <si>
    <t>LA ANGELS Archive Legend MILB</t>
  </si>
  <si>
    <t>Montreal Maroons Archive Legend NHL</t>
  </si>
  <si>
    <t>NY BLACK YANKEES Archive Legend NL</t>
  </si>
  <si>
    <t>NHL Archive Legend NHL</t>
  </si>
  <si>
    <t>New York Cubans Archive NL</t>
  </si>
  <si>
    <t>San Francisco Seals Archive MILB</t>
  </si>
  <si>
    <t>Saint Louis Terriers Archive MILB</t>
  </si>
  <si>
    <t>Chicago Whales Archive MILB</t>
  </si>
  <si>
    <t>Los Angeles Angels Archive 400 MILB</t>
  </si>
  <si>
    <t>New York Cubans Archive 400 NL</t>
  </si>
  <si>
    <t>GM Chevelle VMoto Valin</t>
  </si>
  <si>
    <t>CALIFORNIA Beachwood</t>
  </si>
  <si>
    <t>Arcade Micro Slouch</t>
  </si>
  <si>
    <t>CALI Micro Slouch</t>
  </si>
  <si>
    <t>HIROSHIMA CARP Micro Slouch</t>
  </si>
  <si>
    <t>HANSHIN TIGERS Micro Slouch NPN</t>
  </si>
  <si>
    <t>King Micro Slouch</t>
  </si>
  <si>
    <t>Knight Micro Slouch</t>
  </si>
  <si>
    <t>Peace Micro Slouch</t>
  </si>
  <si>
    <t>SANKEI ATOMS Micro Slouch</t>
  </si>
  <si>
    <t>Tiki Micro Slouch</t>
  </si>
  <si>
    <t>YOMIURI GIANTS Micro Slouch NPN</t>
  </si>
  <si>
    <t>Yokohama Whales Micro Slouch</t>
  </si>
  <si>
    <t>Great Smoky Mnt Trailhead NP</t>
  </si>
  <si>
    <t>Olympic Trailhead NP</t>
  </si>
  <si>
    <t>Saguaro Trailhead NP</t>
  </si>
  <si>
    <t>YELLOWSTONE Trailhead NP</t>
  </si>
  <si>
    <t>ACDC Cuffed Knit</t>
  </si>
  <si>
    <t>BOWIE Cuffed Knit</t>
  </si>
  <si>
    <t>CALI Cuffed Knit</t>
  </si>
  <si>
    <t>CHI BLACKHAWKS Cuffed Knit NHL</t>
  </si>
  <si>
    <t>Chevrolet Cuffed Knit</t>
  </si>
  <si>
    <t>DAL STARS Cuffed Knit NHL</t>
  </si>
  <si>
    <t>FENDER Cuffed Knit</t>
  </si>
  <si>
    <t>HIROSHIMA CARP Cuffed Knit</t>
  </si>
  <si>
    <t>LA KINGS Cuffed Knit NHL</t>
  </si>
  <si>
    <t>LA ANGELS Cuffed Knit MILB</t>
  </si>
  <si>
    <t>MN WILD Cuffed Knit NHL</t>
  </si>
  <si>
    <t>NAS PREDATORS Cuffed Knit NHL</t>
  </si>
  <si>
    <t>NASA Cuffed Knit</t>
  </si>
  <si>
    <t>PHO COYOTES Cuffed Knit NHL</t>
  </si>
  <si>
    <t>Pink Floyd Cuffed Knit</t>
  </si>
  <si>
    <t>QUEBEC NORDIQUES Cuffed Knit NHL</t>
  </si>
  <si>
    <t>SAN FRAN SEALS Cuffed Knit MILB</t>
  </si>
  <si>
    <t>Smokey Bear Cuffed Knit</t>
  </si>
  <si>
    <t>TOR MAPLE LEAFS Cuffed Knit NH</t>
  </si>
  <si>
    <t>USA Cuffed Knit</t>
  </si>
  <si>
    <t>VAN CANUCKS Cuffed Knit NHL</t>
  </si>
  <si>
    <t>V GLDN KNT Cuffed Knit NHL</t>
  </si>
  <si>
    <t>YOMIURI GIANTS NPN Cuffed Knit</t>
  </si>
  <si>
    <t>Death Valley Canopy NP</t>
  </si>
  <si>
    <t>Smokey Bear New Raglin</t>
  </si>
  <si>
    <t>LOS ANGELES KINGS New Raglin</t>
  </si>
  <si>
    <t>MN WILD New Raglin</t>
  </si>
  <si>
    <t>Original 6 New Raglan NHL</t>
  </si>
  <si>
    <t>SJ SHARKS New Raglin</t>
  </si>
  <si>
    <t>Chicago Federals Replica Wool</t>
  </si>
  <si>
    <t>Cuban X-Giants 400 Series MILB</t>
  </si>
  <si>
    <t>Hawaii Islanders 400 Series MILB</t>
  </si>
  <si>
    <t>Hollywood Stars 400 Series MILB</t>
  </si>
  <si>
    <t>Chicago Blackhawks Blue Line NHL</t>
  </si>
  <si>
    <t>Columbus Blue Jackets Blue Line NHL</t>
  </si>
  <si>
    <t>HAR WHALERS Blue Line</t>
  </si>
  <si>
    <t>MN WILD Blue Line</t>
  </si>
  <si>
    <t>Nashville Predators Blue Line NHL</t>
  </si>
  <si>
    <t>Seattle Kraken Blue Line NHL</t>
  </si>
  <si>
    <t>Washington Capitals Blue Line NHL</t>
  </si>
  <si>
    <t>CO AVALANCHE Blue Line NHL</t>
  </si>
  <si>
    <t>EDM OILERS Blue Line NHL</t>
  </si>
  <si>
    <t>Los Angeles Kings Blue Line NHL</t>
  </si>
  <si>
    <t>Minnesota Wild Blue Line NHL</t>
  </si>
  <si>
    <t>PHO COYOTES Blue Line</t>
  </si>
  <si>
    <t>Toronto Maple Leafs Blue Line NHL</t>
  </si>
  <si>
    <t>VAN CANUCKS Blue Line NHL</t>
  </si>
  <si>
    <t>DAL STARS Blue Line NHL</t>
  </si>
  <si>
    <t>ANA MIGHTY DUCKS Blue Line NHL</t>
  </si>
  <si>
    <t>Space with NASA</t>
  </si>
  <si>
    <t>CO AVALANCHE Raglan Bones</t>
  </si>
  <si>
    <t>PHO COYOTES Raglan Bones</t>
  </si>
  <si>
    <t>Los Angeles Kings Raglan Bones</t>
  </si>
  <si>
    <t>TOR MAPLE LEAFS Raglan Bones</t>
  </si>
  <si>
    <t>Yellowstone National Park Pillow</t>
  </si>
  <si>
    <t>Los Angeles Kings Ball Game</t>
  </si>
  <si>
    <t>Baltimore Terrapins New Timer</t>
  </si>
  <si>
    <t>CHI BLACKHAWKS New Timer Slouch</t>
  </si>
  <si>
    <t>Oakland Oaks New Timer Slouch</t>
  </si>
  <si>
    <t>California</t>
  </si>
  <si>
    <t>New York Rangers United NHL</t>
  </si>
  <si>
    <t>Pittsburgh Penguins United NHL</t>
  </si>
  <si>
    <t>VEGAS GOLDEN KNIGHTS United</t>
  </si>
  <si>
    <t>California Valin</t>
  </si>
  <si>
    <t>Los Angeles Valin</t>
  </si>
  <si>
    <t>Rocky Mnt Valin NP</t>
  </si>
  <si>
    <t>Smokey Bear Valin</t>
  </si>
  <si>
    <t>TEXAS Valin</t>
  </si>
  <si>
    <t>USA Valin</t>
  </si>
  <si>
    <t>Zion Nat'l Park Valin</t>
  </si>
  <si>
    <t>Hawaii Ballpark</t>
  </si>
  <si>
    <t>Malibu Ballpark</t>
  </si>
  <si>
    <t>NASA Ballpark</t>
  </si>
  <si>
    <t>Detroit Red Wings Dyer NHL</t>
  </si>
  <si>
    <t>CALI Badger</t>
  </si>
  <si>
    <t>Vegas Golden Knights NHL</t>
  </si>
  <si>
    <t>Original 6 Sundown NHL</t>
  </si>
  <si>
    <t>HANSHIN TIGERS Hepcat</t>
  </si>
  <si>
    <t>Kansas City Katz Hepcat MILB</t>
  </si>
  <si>
    <t>Mt Everest Hepcat</t>
  </si>
  <si>
    <t>Olympic NP Hepcat</t>
  </si>
  <si>
    <t>Smokey Bear Hepcat</t>
  </si>
  <si>
    <t>Austin Senators Hepcat MILB</t>
  </si>
  <si>
    <t>Los Angeles Angels Hepcat</t>
  </si>
  <si>
    <t>SAN FRANCISCO SEALS Hepcat</t>
  </si>
  <si>
    <t>BOWIE Iconic</t>
  </si>
  <si>
    <t>Glacier National Park Iconic</t>
  </si>
  <si>
    <t>Los Angeles Kings Iconic NHL</t>
  </si>
  <si>
    <t>Vegas Golden Knights Iconic NHL</t>
  </si>
  <si>
    <t>TEXAS Durham</t>
  </si>
  <si>
    <t>Anaheim Aces Archive MILB</t>
  </si>
  <si>
    <t>Bloody Mary Archive</t>
  </si>
  <si>
    <t>Boston Shamrocks Archive MILB</t>
  </si>
  <si>
    <t>Chicago Federals Archive</t>
  </si>
  <si>
    <t>Dallas Eagles Archive</t>
  </si>
  <si>
    <t>Gin &amp; Tonic Archive</t>
  </si>
  <si>
    <t>HIROSHIMA CARP Archive</t>
  </si>
  <si>
    <t>Kansas City Katz Archive MILB</t>
  </si>
  <si>
    <t>Los Angeles Angels Archive MILB</t>
  </si>
  <si>
    <t>Manhattan Archive</t>
  </si>
  <si>
    <t>Mint Julep Archive</t>
  </si>
  <si>
    <t>NANKAI HAWKS Archive</t>
  </si>
  <si>
    <t>Old Fashion Archive</t>
  </si>
  <si>
    <t>Yokohama Whales Archive</t>
  </si>
  <si>
    <t>Oakland Seals Archive NHL</t>
  </si>
  <si>
    <t>CHI AMERICAN GIANTS Archive NL</t>
  </si>
  <si>
    <t>Cincinnati Tigers Archive NL</t>
  </si>
  <si>
    <t>KC MONARCHS Archive NL</t>
  </si>
  <si>
    <t>Los Angeles White Sox Archive NL</t>
  </si>
  <si>
    <t>Minor League Baseball Archive MILB</t>
  </si>
  <si>
    <t>Minneapolis Millers Archive MILB</t>
  </si>
  <si>
    <t>Moultrie Colt .22s Archive MILB</t>
  </si>
  <si>
    <t>NY BLACK YANKEES NL Archive NL</t>
  </si>
  <si>
    <t>NEY CUBANS NL Archive NL</t>
  </si>
  <si>
    <t>Oakland Oaks Archive MILB</t>
  </si>
  <si>
    <t>Portland Beavers Archive MILB</t>
  </si>
  <si>
    <t>Seattle Rainiers Archive MILB</t>
  </si>
  <si>
    <t>Saint Louis Stars Archive NL</t>
  </si>
  <si>
    <t>HOMESTEAD GRAYS Archive NL</t>
  </si>
  <si>
    <t>NY BLACK YANKEES Archive NL</t>
  </si>
  <si>
    <t>Seattle Rainers Archive MILB</t>
  </si>
  <si>
    <t>CALI Pace SL</t>
  </si>
  <si>
    <t>Americana Conrad</t>
  </si>
  <si>
    <t>California Conrad</t>
  </si>
  <si>
    <t>United States Conrad</t>
  </si>
  <si>
    <t>American Needle Ballpark</t>
  </si>
  <si>
    <t>American Needle New Timer</t>
  </si>
  <si>
    <t>FENDER Raglan Bones</t>
  </si>
  <si>
    <t>Cadillac</t>
  </si>
  <si>
    <t>GM Camaro Raglan Bones</t>
  </si>
  <si>
    <t>GM Pontiac Valin</t>
  </si>
  <si>
    <t>Rainbow Room Slouch</t>
  </si>
  <si>
    <t>Lake Tahoe</t>
  </si>
  <si>
    <t>Golf</t>
  </si>
  <si>
    <t>Mascot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</si>
</sst>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[$$-409]#,##0.00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jpg"/><Relationship Id="rId191" Type="http://schemas.openxmlformats.org/officeDocument/2006/relationships/image" Target="../media/image191.jpg"/><Relationship Id="rId205" Type="http://schemas.openxmlformats.org/officeDocument/2006/relationships/image" Target="../media/image205.jpg"/><Relationship Id="rId226" Type="http://schemas.openxmlformats.org/officeDocument/2006/relationships/image" Target="../media/image226.jp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jpg"/><Relationship Id="rId216" Type="http://schemas.openxmlformats.org/officeDocument/2006/relationships/image" Target="../media/image216.jp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jpg"/><Relationship Id="rId192" Type="http://schemas.openxmlformats.org/officeDocument/2006/relationships/image" Target="../media/image192.jpg"/><Relationship Id="rId206" Type="http://schemas.openxmlformats.org/officeDocument/2006/relationships/image" Target="../media/image206.jpg"/><Relationship Id="rId227" Type="http://schemas.openxmlformats.org/officeDocument/2006/relationships/image" Target="../media/image227.jp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jpg"/><Relationship Id="rId217" Type="http://schemas.openxmlformats.org/officeDocument/2006/relationships/image" Target="../media/image217.jp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5" Type="http://schemas.openxmlformats.org/officeDocument/2006/relationships/image" Target="../media/image65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51" Type="http://schemas.openxmlformats.org/officeDocument/2006/relationships/image" Target="../media/image151.jpg"/><Relationship Id="rId172" Type="http://schemas.openxmlformats.org/officeDocument/2006/relationships/image" Target="../media/image172.jpg"/><Relationship Id="rId193" Type="http://schemas.openxmlformats.org/officeDocument/2006/relationships/image" Target="../media/image193.jpg"/><Relationship Id="rId207" Type="http://schemas.openxmlformats.org/officeDocument/2006/relationships/image" Target="../media/image207.jpg"/><Relationship Id="rId228" Type="http://schemas.openxmlformats.org/officeDocument/2006/relationships/image" Target="../media/image228.jpg"/><Relationship Id="rId13" Type="http://schemas.openxmlformats.org/officeDocument/2006/relationships/image" Target="../media/image13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20" Type="http://schemas.openxmlformats.org/officeDocument/2006/relationships/image" Target="../media/image120.jpg"/><Relationship Id="rId141" Type="http://schemas.openxmlformats.org/officeDocument/2006/relationships/image" Target="../media/image141.jpg"/><Relationship Id="rId7" Type="http://schemas.openxmlformats.org/officeDocument/2006/relationships/image" Target="../media/image7.jpg"/><Relationship Id="rId162" Type="http://schemas.openxmlformats.org/officeDocument/2006/relationships/image" Target="../media/image162.jpg"/><Relationship Id="rId183" Type="http://schemas.openxmlformats.org/officeDocument/2006/relationships/image" Target="../media/image183.jpg"/><Relationship Id="rId218" Type="http://schemas.openxmlformats.org/officeDocument/2006/relationships/image" Target="../media/image218.jpg"/><Relationship Id="rId24" Type="http://schemas.openxmlformats.org/officeDocument/2006/relationships/image" Target="../media/image24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31" Type="http://schemas.openxmlformats.org/officeDocument/2006/relationships/image" Target="../media/image131.jpg"/><Relationship Id="rId152" Type="http://schemas.openxmlformats.org/officeDocument/2006/relationships/image" Target="../media/image152.jpg"/><Relationship Id="rId173" Type="http://schemas.openxmlformats.org/officeDocument/2006/relationships/image" Target="../media/image173.jpg"/><Relationship Id="rId194" Type="http://schemas.openxmlformats.org/officeDocument/2006/relationships/image" Target="../media/image194.jpg"/><Relationship Id="rId208" Type="http://schemas.openxmlformats.org/officeDocument/2006/relationships/image" Target="../media/image208.jpg"/><Relationship Id="rId14" Type="http://schemas.openxmlformats.org/officeDocument/2006/relationships/image" Target="../media/image14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8" Type="http://schemas.openxmlformats.org/officeDocument/2006/relationships/image" Target="../media/image8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184" Type="http://schemas.openxmlformats.org/officeDocument/2006/relationships/image" Target="../media/image184.jpg"/><Relationship Id="rId219" Type="http://schemas.openxmlformats.org/officeDocument/2006/relationships/image" Target="../media/image219.jpg"/><Relationship Id="rId3" Type="http://schemas.openxmlformats.org/officeDocument/2006/relationships/image" Target="../media/image3.jpg"/><Relationship Id="rId214" Type="http://schemas.openxmlformats.org/officeDocument/2006/relationships/image" Target="../media/image214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jpg"/><Relationship Id="rId179" Type="http://schemas.openxmlformats.org/officeDocument/2006/relationships/image" Target="../media/image179.jpg"/><Relationship Id="rId195" Type="http://schemas.openxmlformats.org/officeDocument/2006/relationships/image" Target="../media/image195.jpg"/><Relationship Id="rId209" Type="http://schemas.openxmlformats.org/officeDocument/2006/relationships/image" Target="../media/image209.jpg"/><Relationship Id="rId190" Type="http://schemas.openxmlformats.org/officeDocument/2006/relationships/image" Target="../media/image190.jpg"/><Relationship Id="rId204" Type="http://schemas.openxmlformats.org/officeDocument/2006/relationships/image" Target="../media/image204.jpg"/><Relationship Id="rId220" Type="http://schemas.openxmlformats.org/officeDocument/2006/relationships/image" Target="../media/image220.jpg"/><Relationship Id="rId225" Type="http://schemas.openxmlformats.org/officeDocument/2006/relationships/image" Target="../media/image225.jp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185" Type="http://schemas.openxmlformats.org/officeDocument/2006/relationships/image" Target="../media/image185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jpg"/><Relationship Id="rId210" Type="http://schemas.openxmlformats.org/officeDocument/2006/relationships/image" Target="../media/image210.jpg"/><Relationship Id="rId215" Type="http://schemas.openxmlformats.org/officeDocument/2006/relationships/image" Target="../media/image215.jp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jpg"/><Relationship Id="rId196" Type="http://schemas.openxmlformats.org/officeDocument/2006/relationships/image" Target="../media/image196.jpg"/><Relationship Id="rId200" Type="http://schemas.openxmlformats.org/officeDocument/2006/relationships/image" Target="../media/image200.jpg"/><Relationship Id="rId16" Type="http://schemas.openxmlformats.org/officeDocument/2006/relationships/image" Target="../media/image16.jpg"/><Relationship Id="rId221" Type="http://schemas.openxmlformats.org/officeDocument/2006/relationships/image" Target="../media/image221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186" Type="http://schemas.openxmlformats.org/officeDocument/2006/relationships/image" Target="../media/image186.jpg"/><Relationship Id="rId211" Type="http://schemas.openxmlformats.org/officeDocument/2006/relationships/image" Target="../media/image211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jpg"/><Relationship Id="rId197" Type="http://schemas.openxmlformats.org/officeDocument/2006/relationships/image" Target="../media/image197.jpg"/><Relationship Id="rId201" Type="http://schemas.openxmlformats.org/officeDocument/2006/relationships/image" Target="../media/image201.jpg"/><Relationship Id="rId222" Type="http://schemas.openxmlformats.org/officeDocument/2006/relationships/image" Target="../media/image222.jp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87" Type="http://schemas.openxmlformats.org/officeDocument/2006/relationships/image" Target="../media/image187.jpg"/><Relationship Id="rId1" Type="http://schemas.openxmlformats.org/officeDocument/2006/relationships/image" Target="../media/image1.jpg"/><Relationship Id="rId212" Type="http://schemas.openxmlformats.org/officeDocument/2006/relationships/image" Target="../media/image212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Relationship Id="rId60" Type="http://schemas.openxmlformats.org/officeDocument/2006/relationships/image" Target="../media/image60.jpg"/><Relationship Id="rId81" Type="http://schemas.openxmlformats.org/officeDocument/2006/relationships/image" Target="../media/image81.jpg"/><Relationship Id="rId135" Type="http://schemas.openxmlformats.org/officeDocument/2006/relationships/image" Target="../media/image135.jpg"/><Relationship Id="rId156" Type="http://schemas.openxmlformats.org/officeDocument/2006/relationships/image" Target="../media/image156.jpg"/><Relationship Id="rId177" Type="http://schemas.openxmlformats.org/officeDocument/2006/relationships/image" Target="../media/image177.jpg"/><Relationship Id="rId198" Type="http://schemas.openxmlformats.org/officeDocument/2006/relationships/image" Target="../media/image198.jpg"/><Relationship Id="rId202" Type="http://schemas.openxmlformats.org/officeDocument/2006/relationships/image" Target="../media/image202.jpg"/><Relationship Id="rId223" Type="http://schemas.openxmlformats.org/officeDocument/2006/relationships/image" Target="../media/image22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50" Type="http://schemas.openxmlformats.org/officeDocument/2006/relationships/image" Target="../media/image50.jpg"/><Relationship Id="rId104" Type="http://schemas.openxmlformats.org/officeDocument/2006/relationships/image" Target="../media/image104.jpg"/><Relationship Id="rId125" Type="http://schemas.openxmlformats.org/officeDocument/2006/relationships/image" Target="../media/image125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188" Type="http://schemas.openxmlformats.org/officeDocument/2006/relationships/image" Target="../media/image188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213" Type="http://schemas.openxmlformats.org/officeDocument/2006/relationships/image" Target="../media/image213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40" Type="http://schemas.openxmlformats.org/officeDocument/2006/relationships/image" Target="../media/image40.jpg"/><Relationship Id="rId115" Type="http://schemas.openxmlformats.org/officeDocument/2006/relationships/image" Target="../media/image115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jp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99" Type="http://schemas.openxmlformats.org/officeDocument/2006/relationships/image" Target="../media/image199.jpg"/><Relationship Id="rId203" Type="http://schemas.openxmlformats.org/officeDocument/2006/relationships/image" Target="../media/image203.jpg"/><Relationship Id="rId19" Type="http://schemas.openxmlformats.org/officeDocument/2006/relationships/image" Target="../media/image19.jpg"/><Relationship Id="rId224" Type="http://schemas.openxmlformats.org/officeDocument/2006/relationships/image" Target="../media/image224.jpg"/><Relationship Id="rId30" Type="http://schemas.openxmlformats.org/officeDocument/2006/relationships/image" Target="../media/image30.jpg"/><Relationship Id="rId105" Type="http://schemas.openxmlformats.org/officeDocument/2006/relationships/image" Target="../media/image105.jp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189" Type="http://schemas.openxmlformats.org/officeDocument/2006/relationships/image" Target="../media/image189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58738</xdr:colOff>
      <xdr:row>2</xdr:row>
      <xdr:rowOff>25400</xdr:rowOff>
    </xdr:from>
    <xdr:to>
      <xdr:col>8</xdr:col>
      <xdr:colOff>1836738</xdr:colOff>
      <xdr:row>2</xdr:row>
      <xdr:rowOff>1498600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540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</xdr:row>
      <xdr:rowOff>23201</xdr:rowOff>
    </xdr:from>
    <xdr:to>
      <xdr:col>8</xdr:col>
      <xdr:colOff>1836738</xdr:colOff>
      <xdr:row>3</xdr:row>
      <xdr:rowOff>1491274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58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</xdr:row>
      <xdr:rowOff>23201</xdr:rowOff>
    </xdr:from>
    <xdr:to>
      <xdr:col>8</xdr:col>
      <xdr:colOff>1836738</xdr:colOff>
      <xdr:row>4</xdr:row>
      <xdr:rowOff>1491274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890351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</xdr:row>
      <xdr:rowOff>23283</xdr:rowOff>
    </xdr:from>
    <xdr:to>
      <xdr:col>8</xdr:col>
      <xdr:colOff>1836738</xdr:colOff>
      <xdr:row>5</xdr:row>
      <xdr:rowOff>1615016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04908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</xdr:row>
      <xdr:rowOff>23259</xdr:rowOff>
    </xdr:from>
    <xdr:to>
      <xdr:col>8</xdr:col>
      <xdr:colOff>1836738</xdr:colOff>
      <xdr:row>6</xdr:row>
      <xdr:rowOff>1605516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7030938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</xdr:row>
      <xdr:rowOff>23856</xdr:rowOff>
    </xdr:from>
    <xdr:to>
      <xdr:col>8</xdr:col>
      <xdr:colOff>1836738</xdr:colOff>
      <xdr:row>7</xdr:row>
      <xdr:rowOff>1442994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7255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</xdr:row>
      <xdr:rowOff>23915</xdr:rowOff>
    </xdr:from>
    <xdr:to>
      <xdr:col>8</xdr:col>
      <xdr:colOff>1836738</xdr:colOff>
      <xdr:row>8</xdr:row>
      <xdr:rowOff>1557236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39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</xdr:row>
      <xdr:rowOff>25400</xdr:rowOff>
    </xdr:from>
    <xdr:to>
      <xdr:col>8</xdr:col>
      <xdr:colOff>1836738</xdr:colOff>
      <xdr:row>9</xdr:row>
      <xdr:rowOff>1498600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7221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</xdr:row>
      <xdr:rowOff>23202</xdr:rowOff>
    </xdr:from>
    <xdr:to>
      <xdr:col>8</xdr:col>
      <xdr:colOff>1836738</xdr:colOff>
      <xdr:row>10</xdr:row>
      <xdr:rowOff>1491275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2439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</xdr:row>
      <xdr:rowOff>25400</xdr:rowOff>
    </xdr:from>
    <xdr:to>
      <xdr:col>8</xdr:col>
      <xdr:colOff>1836738</xdr:colOff>
      <xdr:row>11</xdr:row>
      <xdr:rowOff>1498600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7605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</xdr:row>
      <xdr:rowOff>23972</xdr:rowOff>
    </xdr:from>
    <xdr:to>
      <xdr:col>8</xdr:col>
      <xdr:colOff>1836738</xdr:colOff>
      <xdr:row>12</xdr:row>
      <xdr:rowOff>1671477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283147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</xdr:row>
      <xdr:rowOff>25400</xdr:rowOff>
    </xdr:from>
    <xdr:to>
      <xdr:col>8</xdr:col>
      <xdr:colOff>1836738</xdr:colOff>
      <xdr:row>13</xdr:row>
      <xdr:rowOff>1498600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98002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</xdr:row>
      <xdr:rowOff>21166</xdr:rowOff>
    </xdr:from>
    <xdr:to>
      <xdr:col>8</xdr:col>
      <xdr:colOff>1836738</xdr:colOff>
      <xdr:row>14</xdr:row>
      <xdr:rowOff>1731433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499791"/>
          <a:ext cx="1778000" cy="17102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</xdr:row>
      <xdr:rowOff>22786</xdr:rowOff>
    </xdr:from>
    <xdr:to>
      <xdr:col>8</xdr:col>
      <xdr:colOff>1836738</xdr:colOff>
      <xdr:row>15</xdr:row>
      <xdr:rowOff>1539315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2540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</xdr:row>
      <xdr:rowOff>22786</xdr:rowOff>
    </xdr:from>
    <xdr:to>
      <xdr:col>8</xdr:col>
      <xdr:colOff>1836738</xdr:colOff>
      <xdr:row>16</xdr:row>
      <xdr:rowOff>1539315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161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</xdr:row>
      <xdr:rowOff>23813</xdr:rowOff>
    </xdr:from>
    <xdr:to>
      <xdr:col>8</xdr:col>
      <xdr:colOff>1836738</xdr:colOff>
      <xdr:row>17</xdr:row>
      <xdr:rowOff>1547813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379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</xdr:row>
      <xdr:rowOff>23752</xdr:rowOff>
    </xdr:from>
    <xdr:to>
      <xdr:col>8</xdr:col>
      <xdr:colOff>1836738</xdr:colOff>
      <xdr:row>18</xdr:row>
      <xdr:rowOff>1566922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50802"/>
          <a:ext cx="1778000" cy="154317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</xdr:row>
      <xdr:rowOff>23202</xdr:rowOff>
    </xdr:from>
    <xdr:to>
      <xdr:col>8</xdr:col>
      <xdr:colOff>1836738</xdr:colOff>
      <xdr:row>19</xdr:row>
      <xdr:rowOff>1491275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54092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</xdr:row>
      <xdr:rowOff>23202</xdr:rowOff>
    </xdr:from>
    <xdr:to>
      <xdr:col>8</xdr:col>
      <xdr:colOff>1836738</xdr:colOff>
      <xdr:row>20</xdr:row>
      <xdr:rowOff>1491275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0554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</xdr:row>
      <xdr:rowOff>23202</xdr:rowOff>
    </xdr:from>
    <xdr:to>
      <xdr:col>8</xdr:col>
      <xdr:colOff>1836738</xdr:colOff>
      <xdr:row>21</xdr:row>
      <xdr:rowOff>1491275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98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</xdr:row>
      <xdr:rowOff>21695</xdr:rowOff>
    </xdr:from>
    <xdr:to>
      <xdr:col>8</xdr:col>
      <xdr:colOff>1836738</xdr:colOff>
      <xdr:row>22</xdr:row>
      <xdr:rowOff>1664228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82845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23</xdr:row>
      <xdr:rowOff>23202</xdr:rowOff>
    </xdr:from>
    <xdr:to>
      <xdr:col>8</xdr:col>
      <xdr:colOff>1836738</xdr:colOff>
      <xdr:row>23</xdr:row>
      <xdr:rowOff>1491275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702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24</xdr:row>
      <xdr:rowOff>23282</xdr:rowOff>
    </xdr:from>
    <xdr:to>
      <xdr:col>8</xdr:col>
      <xdr:colOff>1836738</xdr:colOff>
      <xdr:row>24</xdr:row>
      <xdr:rowOff>1615015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84832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25</xdr:row>
      <xdr:rowOff>21577</xdr:rowOff>
    </xdr:from>
    <xdr:to>
      <xdr:col>8</xdr:col>
      <xdr:colOff>1836738</xdr:colOff>
      <xdr:row>25</xdr:row>
      <xdr:rowOff>1569096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921427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26</xdr:row>
      <xdr:rowOff>23974</xdr:rowOff>
    </xdr:from>
    <xdr:to>
      <xdr:col>8</xdr:col>
      <xdr:colOff>1836738</xdr:colOff>
      <xdr:row>26</xdr:row>
      <xdr:rowOff>1671479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850497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27</xdr:row>
      <xdr:rowOff>23202</xdr:rowOff>
    </xdr:from>
    <xdr:to>
      <xdr:col>8</xdr:col>
      <xdr:colOff>1836738</xdr:colOff>
      <xdr:row>27</xdr:row>
      <xdr:rowOff>1491275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02091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28</xdr:row>
      <xdr:rowOff>23915</xdr:rowOff>
    </xdr:from>
    <xdr:to>
      <xdr:col>8</xdr:col>
      <xdr:colOff>1836738</xdr:colOff>
      <xdr:row>28</xdr:row>
      <xdr:rowOff>1557236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17243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29</xdr:row>
      <xdr:rowOff>23813</xdr:rowOff>
    </xdr:from>
    <xdr:to>
      <xdr:col>8</xdr:col>
      <xdr:colOff>1836738</xdr:colOff>
      <xdr:row>29</xdr:row>
      <xdr:rowOff>1547813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33054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30</xdr:row>
      <xdr:rowOff>23813</xdr:rowOff>
    </xdr:from>
    <xdr:to>
      <xdr:col>8</xdr:col>
      <xdr:colOff>1836738</xdr:colOff>
      <xdr:row>30</xdr:row>
      <xdr:rowOff>1547813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48770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31</xdr:row>
      <xdr:rowOff>23974</xdr:rowOff>
    </xdr:from>
    <xdr:to>
      <xdr:col>8</xdr:col>
      <xdr:colOff>1836738</xdr:colOff>
      <xdr:row>31</xdr:row>
      <xdr:rowOff>1671479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64488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32</xdr:row>
      <xdr:rowOff>23202</xdr:rowOff>
    </xdr:from>
    <xdr:to>
      <xdr:col>8</xdr:col>
      <xdr:colOff>1836738</xdr:colOff>
      <xdr:row>32</xdr:row>
      <xdr:rowOff>1491275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4815166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33</xdr:row>
      <xdr:rowOff>23257</xdr:rowOff>
    </xdr:from>
    <xdr:to>
      <xdr:col>8</xdr:col>
      <xdr:colOff>1836738</xdr:colOff>
      <xdr:row>33</xdr:row>
      <xdr:rowOff>1605514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965803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34</xdr:row>
      <xdr:rowOff>23915</xdr:rowOff>
    </xdr:from>
    <xdr:to>
      <xdr:col>8</xdr:col>
      <xdr:colOff>1836738</xdr:colOff>
      <xdr:row>34</xdr:row>
      <xdr:rowOff>1557236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1287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35</xdr:row>
      <xdr:rowOff>23261</xdr:rowOff>
    </xdr:from>
    <xdr:to>
      <xdr:col>8</xdr:col>
      <xdr:colOff>1836738</xdr:colOff>
      <xdr:row>35</xdr:row>
      <xdr:rowOff>1605518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28679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36</xdr:row>
      <xdr:rowOff>23912</xdr:rowOff>
    </xdr:from>
    <xdr:to>
      <xdr:col>8</xdr:col>
      <xdr:colOff>1836738</xdr:colOff>
      <xdr:row>36</xdr:row>
      <xdr:rowOff>1557233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4973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37</xdr:row>
      <xdr:rowOff>23261</xdr:rowOff>
    </xdr:from>
    <xdr:to>
      <xdr:col>8</xdr:col>
      <xdr:colOff>1836738</xdr:colOff>
      <xdr:row>37</xdr:row>
      <xdr:rowOff>1591223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60778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38</xdr:row>
      <xdr:rowOff>25400</xdr:rowOff>
    </xdr:from>
    <xdr:to>
      <xdr:col>8</xdr:col>
      <xdr:colOff>1836738</xdr:colOff>
      <xdr:row>38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7708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39</xdr:row>
      <xdr:rowOff>23813</xdr:rowOff>
    </xdr:from>
    <xdr:to>
      <xdr:col>8</xdr:col>
      <xdr:colOff>1836738</xdr:colOff>
      <xdr:row>39</xdr:row>
      <xdr:rowOff>1547813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9536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40</xdr:row>
      <xdr:rowOff>25400</xdr:rowOff>
    </xdr:from>
    <xdr:to>
      <xdr:col>8</xdr:col>
      <xdr:colOff>1836738</xdr:colOff>
      <xdr:row>40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1109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41</xdr:row>
      <xdr:rowOff>23199</xdr:rowOff>
    </xdr:from>
    <xdr:to>
      <xdr:col>8</xdr:col>
      <xdr:colOff>1836738</xdr:colOff>
      <xdr:row>41</xdr:row>
      <xdr:rowOff>1491272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29358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42</xdr:row>
      <xdr:rowOff>25400</xdr:rowOff>
    </xdr:from>
    <xdr:to>
      <xdr:col>8</xdr:col>
      <xdr:colOff>1836738</xdr:colOff>
      <xdr:row>42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4452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43</xdr:row>
      <xdr:rowOff>23199</xdr:rowOff>
    </xdr:from>
    <xdr:to>
      <xdr:col>8</xdr:col>
      <xdr:colOff>1836738</xdr:colOff>
      <xdr:row>43</xdr:row>
      <xdr:rowOff>1491272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62790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44</xdr:row>
      <xdr:rowOff>23912</xdr:rowOff>
    </xdr:from>
    <xdr:to>
      <xdr:col>8</xdr:col>
      <xdr:colOff>1836738</xdr:colOff>
      <xdr:row>44</xdr:row>
      <xdr:rowOff>1557233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77942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45</xdr:row>
      <xdr:rowOff>23199</xdr:rowOff>
    </xdr:from>
    <xdr:to>
      <xdr:col>8</xdr:col>
      <xdr:colOff>1836738</xdr:colOff>
      <xdr:row>45</xdr:row>
      <xdr:rowOff>1491272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93747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46</xdr:row>
      <xdr:rowOff>23199</xdr:rowOff>
    </xdr:from>
    <xdr:to>
      <xdr:col>8</xdr:col>
      <xdr:colOff>1836738</xdr:colOff>
      <xdr:row>46</xdr:row>
      <xdr:rowOff>1491272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08891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47</xdr:row>
      <xdr:rowOff>21233</xdr:rowOff>
    </xdr:from>
    <xdr:to>
      <xdr:col>8</xdr:col>
      <xdr:colOff>1836738</xdr:colOff>
      <xdr:row>47</xdr:row>
      <xdr:rowOff>1636114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2401708"/>
          <a:ext cx="1778000" cy="161488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48</xdr:row>
      <xdr:rowOff>23199</xdr:rowOff>
    </xdr:from>
    <xdr:to>
      <xdr:col>8</xdr:col>
      <xdr:colOff>1836738</xdr:colOff>
      <xdr:row>48</xdr:row>
      <xdr:rowOff>1491272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40610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49</xdr:row>
      <xdr:rowOff>23912</xdr:rowOff>
    </xdr:from>
    <xdr:to>
      <xdr:col>8</xdr:col>
      <xdr:colOff>1836738</xdr:colOff>
      <xdr:row>49</xdr:row>
      <xdr:rowOff>1557233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55762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50</xdr:row>
      <xdr:rowOff>23199</xdr:rowOff>
    </xdr:from>
    <xdr:to>
      <xdr:col>8</xdr:col>
      <xdr:colOff>1836738</xdr:colOff>
      <xdr:row>50</xdr:row>
      <xdr:rowOff>1491272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715664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51</xdr:row>
      <xdr:rowOff>23199</xdr:rowOff>
    </xdr:from>
    <xdr:to>
      <xdr:col>8</xdr:col>
      <xdr:colOff>1836738</xdr:colOff>
      <xdr:row>51</xdr:row>
      <xdr:rowOff>1491272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86711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52</xdr:row>
      <xdr:rowOff>23199</xdr:rowOff>
    </xdr:from>
    <xdr:to>
      <xdr:col>8</xdr:col>
      <xdr:colOff>1836738</xdr:colOff>
      <xdr:row>52</xdr:row>
      <xdr:rowOff>1491272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01855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53</xdr:row>
      <xdr:rowOff>23912</xdr:rowOff>
    </xdr:from>
    <xdr:to>
      <xdr:col>8</xdr:col>
      <xdr:colOff>1836738</xdr:colOff>
      <xdr:row>53</xdr:row>
      <xdr:rowOff>1557233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17007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54</xdr:row>
      <xdr:rowOff>23199</xdr:rowOff>
    </xdr:from>
    <xdr:to>
      <xdr:col>8</xdr:col>
      <xdr:colOff>1836738</xdr:colOff>
      <xdr:row>54</xdr:row>
      <xdr:rowOff>1491272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32812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55</xdr:row>
      <xdr:rowOff>23261</xdr:rowOff>
    </xdr:from>
    <xdr:to>
      <xdr:col>8</xdr:col>
      <xdr:colOff>1836738</xdr:colOff>
      <xdr:row>55</xdr:row>
      <xdr:rowOff>1605518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47957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56</xdr:row>
      <xdr:rowOff>25400</xdr:rowOff>
    </xdr:from>
    <xdr:to>
      <xdr:col>8</xdr:col>
      <xdr:colOff>1836738</xdr:colOff>
      <xdr:row>56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426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57</xdr:row>
      <xdr:rowOff>23143</xdr:rowOff>
    </xdr:from>
    <xdr:to>
      <xdr:col>8</xdr:col>
      <xdr:colOff>1836738</xdr:colOff>
      <xdr:row>57</xdr:row>
      <xdr:rowOff>1377033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8253218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58</xdr:row>
      <xdr:rowOff>25400</xdr:rowOff>
    </xdr:from>
    <xdr:to>
      <xdr:col>8</xdr:col>
      <xdr:colOff>1836738</xdr:colOff>
      <xdr:row>58</xdr:row>
      <xdr:rowOff>1803400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8961482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59</xdr:row>
      <xdr:rowOff>23912</xdr:rowOff>
    </xdr:from>
    <xdr:to>
      <xdr:col>8</xdr:col>
      <xdr:colOff>1836738</xdr:colOff>
      <xdr:row>59</xdr:row>
      <xdr:rowOff>1557233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91436698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60</xdr:row>
      <xdr:rowOff>23912</xdr:rowOff>
    </xdr:from>
    <xdr:to>
      <xdr:col>8</xdr:col>
      <xdr:colOff>1836738</xdr:colOff>
      <xdr:row>60</xdr:row>
      <xdr:rowOff>1557233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30641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61</xdr:row>
      <xdr:rowOff>23261</xdr:rowOff>
    </xdr:from>
    <xdr:to>
      <xdr:col>8</xdr:col>
      <xdr:colOff>1836738</xdr:colOff>
      <xdr:row>61</xdr:row>
      <xdr:rowOff>1605518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464461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62</xdr:row>
      <xdr:rowOff>23261</xdr:rowOff>
    </xdr:from>
    <xdr:to>
      <xdr:col>8</xdr:col>
      <xdr:colOff>1836738</xdr:colOff>
      <xdr:row>62</xdr:row>
      <xdr:rowOff>1605518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62733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63</xdr:row>
      <xdr:rowOff>23813</xdr:rowOff>
    </xdr:from>
    <xdr:to>
      <xdr:col>8</xdr:col>
      <xdr:colOff>1836738</xdr:colOff>
      <xdr:row>63</xdr:row>
      <xdr:rowOff>1547813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79027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64</xdr:row>
      <xdr:rowOff>23261</xdr:rowOff>
    </xdr:from>
    <xdr:to>
      <xdr:col>8</xdr:col>
      <xdr:colOff>1836738</xdr:colOff>
      <xdr:row>64</xdr:row>
      <xdr:rowOff>1605518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94737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65</xdr:row>
      <xdr:rowOff>23199</xdr:rowOff>
    </xdr:from>
    <xdr:to>
      <xdr:col>8</xdr:col>
      <xdr:colOff>1836738</xdr:colOff>
      <xdr:row>65</xdr:row>
      <xdr:rowOff>1491272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1024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66</xdr:row>
      <xdr:rowOff>23261</xdr:rowOff>
    </xdr:from>
    <xdr:to>
      <xdr:col>8</xdr:col>
      <xdr:colOff>1836738</xdr:colOff>
      <xdr:row>66</xdr:row>
      <xdr:rowOff>1605518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261703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67</xdr:row>
      <xdr:rowOff>23974</xdr:rowOff>
    </xdr:from>
    <xdr:to>
      <xdr:col>8</xdr:col>
      <xdr:colOff>1836738</xdr:colOff>
      <xdr:row>67</xdr:row>
      <xdr:rowOff>1671479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42465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68</xdr:row>
      <xdr:rowOff>23912</xdr:rowOff>
    </xdr:from>
    <xdr:to>
      <xdr:col>8</xdr:col>
      <xdr:colOff>1836738</xdr:colOff>
      <xdr:row>68</xdr:row>
      <xdr:rowOff>1557233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59419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69</xdr:row>
      <xdr:rowOff>23254</xdr:rowOff>
    </xdr:from>
    <xdr:to>
      <xdr:col>8</xdr:col>
      <xdr:colOff>1836738</xdr:colOff>
      <xdr:row>69</xdr:row>
      <xdr:rowOff>1605511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752240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70</xdr:row>
      <xdr:rowOff>23974</xdr:rowOff>
    </xdr:from>
    <xdr:to>
      <xdr:col>8</xdr:col>
      <xdr:colOff>1836738</xdr:colOff>
      <xdr:row>70</xdr:row>
      <xdr:rowOff>1671479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9151899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71</xdr:row>
      <xdr:rowOff>23205</xdr:rowOff>
    </xdr:from>
    <xdr:to>
      <xdr:col>8</xdr:col>
      <xdr:colOff>1836738</xdr:colOff>
      <xdr:row>71</xdr:row>
      <xdr:rowOff>1491278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0846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72</xdr:row>
      <xdr:rowOff>23205</xdr:rowOff>
    </xdr:from>
    <xdr:to>
      <xdr:col>8</xdr:col>
      <xdr:colOff>1836738</xdr:colOff>
      <xdr:row>72</xdr:row>
      <xdr:rowOff>1491278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23610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73</xdr:row>
      <xdr:rowOff>23862</xdr:rowOff>
    </xdr:from>
    <xdr:to>
      <xdr:col>8</xdr:col>
      <xdr:colOff>1836738</xdr:colOff>
      <xdr:row>73</xdr:row>
      <xdr:rowOff>1443000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3876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74</xdr:row>
      <xdr:rowOff>21171</xdr:rowOff>
    </xdr:from>
    <xdr:to>
      <xdr:col>8</xdr:col>
      <xdr:colOff>1836738</xdr:colOff>
      <xdr:row>74</xdr:row>
      <xdr:rowOff>1502838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5340346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75</xdr:row>
      <xdr:rowOff>24594</xdr:rowOff>
    </xdr:from>
    <xdr:to>
      <xdr:col>8</xdr:col>
      <xdr:colOff>1836738</xdr:colOff>
      <xdr:row>75</xdr:row>
      <xdr:rowOff>2089947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6867769"/>
          <a:ext cx="1778000" cy="20653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76</xdr:row>
      <xdr:rowOff>25660</xdr:rowOff>
    </xdr:from>
    <xdr:to>
      <xdr:col>8</xdr:col>
      <xdr:colOff>1836738</xdr:colOff>
      <xdr:row>76</xdr:row>
      <xdr:rowOff>2155556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898338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77</xdr:row>
      <xdr:rowOff>23589</xdr:rowOff>
    </xdr:from>
    <xdr:to>
      <xdr:col>8</xdr:col>
      <xdr:colOff>1836738</xdr:colOff>
      <xdr:row>77</xdr:row>
      <xdr:rowOff>2110017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11625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78</xdr:row>
      <xdr:rowOff>23974</xdr:rowOff>
    </xdr:from>
    <xdr:to>
      <xdr:col>8</xdr:col>
      <xdr:colOff>1836738</xdr:colOff>
      <xdr:row>78</xdr:row>
      <xdr:rowOff>2176290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32965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79</xdr:row>
      <xdr:rowOff>23589</xdr:rowOff>
    </xdr:from>
    <xdr:to>
      <xdr:col>8</xdr:col>
      <xdr:colOff>1836738</xdr:colOff>
      <xdr:row>79</xdr:row>
      <xdr:rowOff>2110017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549641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80</xdr:row>
      <xdr:rowOff>23974</xdr:rowOff>
    </xdr:from>
    <xdr:to>
      <xdr:col>8</xdr:col>
      <xdr:colOff>1836738</xdr:colOff>
      <xdr:row>80</xdr:row>
      <xdr:rowOff>2176290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763039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81</xdr:row>
      <xdr:rowOff>22225</xdr:rowOff>
    </xdr:from>
    <xdr:to>
      <xdr:col>8</xdr:col>
      <xdr:colOff>1836738</xdr:colOff>
      <xdr:row>81</xdr:row>
      <xdr:rowOff>2054225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982892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82</xdr:row>
      <xdr:rowOff>23589</xdr:rowOff>
    </xdr:from>
    <xdr:to>
      <xdr:col>8</xdr:col>
      <xdr:colOff>1836738</xdr:colOff>
      <xdr:row>82</xdr:row>
      <xdr:rowOff>2110017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19067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83</xdr:row>
      <xdr:rowOff>22225</xdr:rowOff>
    </xdr:from>
    <xdr:to>
      <xdr:col>8</xdr:col>
      <xdr:colOff>1836738</xdr:colOff>
      <xdr:row>83</xdr:row>
      <xdr:rowOff>2054225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403897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84</xdr:row>
      <xdr:rowOff>23589</xdr:rowOff>
    </xdr:from>
    <xdr:to>
      <xdr:col>8</xdr:col>
      <xdr:colOff>1836738</xdr:colOff>
      <xdr:row>84</xdr:row>
      <xdr:rowOff>2110017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611678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85</xdr:row>
      <xdr:rowOff>23316</xdr:rowOff>
    </xdr:from>
    <xdr:to>
      <xdr:col>8</xdr:col>
      <xdr:colOff>1836738</xdr:colOff>
      <xdr:row>85</xdr:row>
      <xdr:rowOff>2100769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8250116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86</xdr:row>
      <xdr:rowOff>23589</xdr:rowOff>
    </xdr:from>
    <xdr:to>
      <xdr:col>8</xdr:col>
      <xdr:colOff>1836738</xdr:colOff>
      <xdr:row>86</xdr:row>
      <xdr:rowOff>2110017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037446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87</xdr:row>
      <xdr:rowOff>23974</xdr:rowOff>
    </xdr:from>
    <xdr:to>
      <xdr:col>8</xdr:col>
      <xdr:colOff>1836738</xdr:colOff>
      <xdr:row>87</xdr:row>
      <xdr:rowOff>2176290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250844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88</xdr:row>
      <xdr:rowOff>23478</xdr:rowOff>
    </xdr:from>
    <xdr:to>
      <xdr:col>8</xdr:col>
      <xdr:colOff>1836738</xdr:colOff>
      <xdr:row>88</xdr:row>
      <xdr:rowOff>2119646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4708228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89</xdr:row>
      <xdr:rowOff>25660</xdr:rowOff>
    </xdr:from>
    <xdr:to>
      <xdr:col>8</xdr:col>
      <xdr:colOff>1836738</xdr:colOff>
      <xdr:row>89</xdr:row>
      <xdr:rowOff>2155556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685353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90</xdr:row>
      <xdr:rowOff>23974</xdr:rowOff>
    </xdr:from>
    <xdr:to>
      <xdr:col>8</xdr:col>
      <xdr:colOff>1836738</xdr:colOff>
      <xdr:row>90</xdr:row>
      <xdr:rowOff>2176290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903307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91</xdr:row>
      <xdr:rowOff>22225</xdr:rowOff>
    </xdr:from>
    <xdr:to>
      <xdr:col>8</xdr:col>
      <xdr:colOff>1836738</xdr:colOff>
      <xdr:row>91</xdr:row>
      <xdr:rowOff>2054225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12316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92</xdr:row>
      <xdr:rowOff>22361</xdr:rowOff>
    </xdr:from>
    <xdr:to>
      <xdr:col>8</xdr:col>
      <xdr:colOff>1836738</xdr:colOff>
      <xdr:row>92</xdr:row>
      <xdr:rowOff>2130299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3308186"/>
          <a:ext cx="1778000" cy="21079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93</xdr:row>
      <xdr:rowOff>23316</xdr:rowOff>
    </xdr:from>
    <xdr:to>
      <xdr:col>8</xdr:col>
      <xdr:colOff>1836738</xdr:colOff>
      <xdr:row>93</xdr:row>
      <xdr:rowOff>2100769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5461791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94</xdr:row>
      <xdr:rowOff>25177</xdr:rowOff>
    </xdr:from>
    <xdr:to>
      <xdr:col>8</xdr:col>
      <xdr:colOff>1836738</xdr:colOff>
      <xdr:row>94</xdr:row>
      <xdr:rowOff>1984606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7587727"/>
          <a:ext cx="1778000" cy="19594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95</xdr:row>
      <xdr:rowOff>23478</xdr:rowOff>
    </xdr:from>
    <xdr:to>
      <xdr:col>8</xdr:col>
      <xdr:colOff>1836738</xdr:colOff>
      <xdr:row>95</xdr:row>
      <xdr:rowOff>2119646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9595803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96</xdr:row>
      <xdr:rowOff>23974</xdr:rowOff>
    </xdr:from>
    <xdr:to>
      <xdr:col>8</xdr:col>
      <xdr:colOff>1836738</xdr:colOff>
      <xdr:row>96</xdr:row>
      <xdr:rowOff>2176290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17394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97</xdr:row>
      <xdr:rowOff>24755</xdr:rowOff>
    </xdr:from>
    <xdr:to>
      <xdr:col>8</xdr:col>
      <xdr:colOff>1836738</xdr:colOff>
      <xdr:row>97</xdr:row>
      <xdr:rowOff>2166002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3940480"/>
          <a:ext cx="1778000" cy="214124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98</xdr:row>
      <xdr:rowOff>22225</xdr:rowOff>
    </xdr:from>
    <xdr:to>
      <xdr:col>8</xdr:col>
      <xdr:colOff>1836738</xdr:colOff>
      <xdr:row>98</xdr:row>
      <xdr:rowOff>2054225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61287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99</xdr:row>
      <xdr:rowOff>23862</xdr:rowOff>
    </xdr:from>
    <xdr:to>
      <xdr:col>8</xdr:col>
      <xdr:colOff>1836738</xdr:colOff>
      <xdr:row>99</xdr:row>
      <xdr:rowOff>1443000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82067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100</xdr:row>
      <xdr:rowOff>23205</xdr:rowOff>
    </xdr:from>
    <xdr:to>
      <xdr:col>8</xdr:col>
      <xdr:colOff>1836738</xdr:colOff>
      <xdr:row>100</xdr:row>
      <xdr:rowOff>1491278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96729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101</xdr:row>
      <xdr:rowOff>23912</xdr:rowOff>
    </xdr:from>
    <xdr:to>
      <xdr:col>8</xdr:col>
      <xdr:colOff>1836738</xdr:colOff>
      <xdr:row>101</xdr:row>
      <xdr:rowOff>1557233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1188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102</xdr:row>
      <xdr:rowOff>23912</xdr:rowOff>
    </xdr:from>
    <xdr:to>
      <xdr:col>8</xdr:col>
      <xdr:colOff>1836738</xdr:colOff>
      <xdr:row>102</xdr:row>
      <xdr:rowOff>1557233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27693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103</xdr:row>
      <xdr:rowOff>21580</xdr:rowOff>
    </xdr:from>
    <xdr:to>
      <xdr:col>8</xdr:col>
      <xdr:colOff>1836738</xdr:colOff>
      <xdr:row>103</xdr:row>
      <xdr:rowOff>1569099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4348130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104</xdr:row>
      <xdr:rowOff>23205</xdr:rowOff>
    </xdr:from>
    <xdr:to>
      <xdr:col>8</xdr:col>
      <xdr:colOff>1836738</xdr:colOff>
      <xdr:row>104</xdr:row>
      <xdr:rowOff>1491278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59404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105</xdr:row>
      <xdr:rowOff>23862</xdr:rowOff>
    </xdr:from>
    <xdr:to>
      <xdr:col>8</xdr:col>
      <xdr:colOff>1836738</xdr:colOff>
      <xdr:row>105</xdr:row>
      <xdr:rowOff>1443000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74555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106</xdr:row>
      <xdr:rowOff>23862</xdr:rowOff>
    </xdr:from>
    <xdr:to>
      <xdr:col>8</xdr:col>
      <xdr:colOff>1836738</xdr:colOff>
      <xdr:row>106</xdr:row>
      <xdr:rowOff>1443000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8922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107</xdr:row>
      <xdr:rowOff>23081</xdr:rowOff>
    </xdr:from>
    <xdr:to>
      <xdr:col>8</xdr:col>
      <xdr:colOff>1836738</xdr:colOff>
      <xdr:row>107</xdr:row>
      <xdr:rowOff>1262787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0388481"/>
          <a:ext cx="1778000" cy="12397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108</xdr:row>
      <xdr:rowOff>23862</xdr:rowOff>
    </xdr:from>
    <xdr:to>
      <xdr:col>8</xdr:col>
      <xdr:colOff>1836738</xdr:colOff>
      <xdr:row>108</xdr:row>
      <xdr:rowOff>1443000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16751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109</xdr:row>
      <xdr:rowOff>23862</xdr:rowOff>
    </xdr:from>
    <xdr:to>
      <xdr:col>8</xdr:col>
      <xdr:colOff>1836738</xdr:colOff>
      <xdr:row>109</xdr:row>
      <xdr:rowOff>1443000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31419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110</xdr:row>
      <xdr:rowOff>23862</xdr:rowOff>
    </xdr:from>
    <xdr:to>
      <xdr:col>8</xdr:col>
      <xdr:colOff>1836738</xdr:colOff>
      <xdr:row>110</xdr:row>
      <xdr:rowOff>1443000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46088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111</xdr:row>
      <xdr:rowOff>23205</xdr:rowOff>
    </xdr:from>
    <xdr:to>
      <xdr:col>8</xdr:col>
      <xdr:colOff>1836738</xdr:colOff>
      <xdr:row>111</xdr:row>
      <xdr:rowOff>1491278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60750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112</xdr:row>
      <xdr:rowOff>23205</xdr:rowOff>
    </xdr:from>
    <xdr:to>
      <xdr:col>8</xdr:col>
      <xdr:colOff>1836738</xdr:colOff>
      <xdr:row>112</xdr:row>
      <xdr:rowOff>1491278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75895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113</xdr:row>
      <xdr:rowOff>23862</xdr:rowOff>
    </xdr:from>
    <xdr:to>
      <xdr:col>8</xdr:col>
      <xdr:colOff>1836738</xdr:colOff>
      <xdr:row>113</xdr:row>
      <xdr:rowOff>1443000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9104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114</xdr:row>
      <xdr:rowOff>23763</xdr:rowOff>
    </xdr:from>
    <xdr:to>
      <xdr:col>8</xdr:col>
      <xdr:colOff>1836738</xdr:colOff>
      <xdr:row>114</xdr:row>
      <xdr:rowOff>1519277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0571388"/>
          <a:ext cx="1778000" cy="149551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115</xdr:row>
      <xdr:rowOff>23205</xdr:rowOff>
    </xdr:from>
    <xdr:to>
      <xdr:col>8</xdr:col>
      <xdr:colOff>1836738</xdr:colOff>
      <xdr:row>115</xdr:row>
      <xdr:rowOff>1491278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21138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116</xdr:row>
      <xdr:rowOff>23205</xdr:rowOff>
    </xdr:from>
    <xdr:to>
      <xdr:col>8</xdr:col>
      <xdr:colOff>1836738</xdr:colOff>
      <xdr:row>116</xdr:row>
      <xdr:rowOff>1491278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36283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117</xdr:row>
      <xdr:rowOff>23205</xdr:rowOff>
    </xdr:from>
    <xdr:to>
      <xdr:col>8</xdr:col>
      <xdr:colOff>1836738</xdr:colOff>
      <xdr:row>117</xdr:row>
      <xdr:rowOff>1491278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51428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118</xdr:row>
      <xdr:rowOff>23205</xdr:rowOff>
    </xdr:from>
    <xdr:to>
      <xdr:col>8</xdr:col>
      <xdr:colOff>1836738</xdr:colOff>
      <xdr:row>118</xdr:row>
      <xdr:rowOff>1491278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66573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119</xdr:row>
      <xdr:rowOff>23205</xdr:rowOff>
    </xdr:from>
    <xdr:to>
      <xdr:col>8</xdr:col>
      <xdr:colOff>1836738</xdr:colOff>
      <xdr:row>119</xdr:row>
      <xdr:rowOff>1488589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81717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120</xdr:row>
      <xdr:rowOff>21171</xdr:rowOff>
    </xdr:from>
    <xdr:to>
      <xdr:col>8</xdr:col>
      <xdr:colOff>1836738</xdr:colOff>
      <xdr:row>120</xdr:row>
      <xdr:rowOff>1502838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9684221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121</xdr:row>
      <xdr:rowOff>23862</xdr:rowOff>
    </xdr:from>
    <xdr:to>
      <xdr:col>8</xdr:col>
      <xdr:colOff>1836738</xdr:colOff>
      <xdr:row>121</xdr:row>
      <xdr:rowOff>1443000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1210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122</xdr:row>
      <xdr:rowOff>23205</xdr:rowOff>
    </xdr:from>
    <xdr:to>
      <xdr:col>8</xdr:col>
      <xdr:colOff>1836738</xdr:colOff>
      <xdr:row>122</xdr:row>
      <xdr:rowOff>1491278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26771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123</xdr:row>
      <xdr:rowOff>23205</xdr:rowOff>
    </xdr:from>
    <xdr:to>
      <xdr:col>8</xdr:col>
      <xdr:colOff>1836738</xdr:colOff>
      <xdr:row>123</xdr:row>
      <xdr:rowOff>1491278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4191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124</xdr:row>
      <xdr:rowOff>21171</xdr:rowOff>
    </xdr:from>
    <xdr:to>
      <xdr:col>8</xdr:col>
      <xdr:colOff>1836738</xdr:colOff>
      <xdr:row>124</xdr:row>
      <xdr:rowOff>1502838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5706742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125</xdr:row>
      <xdr:rowOff>23205</xdr:rowOff>
    </xdr:from>
    <xdr:to>
      <xdr:col>8</xdr:col>
      <xdr:colOff>1836738</xdr:colOff>
      <xdr:row>125</xdr:row>
      <xdr:rowOff>1491278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72327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126</xdr:row>
      <xdr:rowOff>23192</xdr:rowOff>
    </xdr:from>
    <xdr:to>
      <xdr:col>8</xdr:col>
      <xdr:colOff>1836738</xdr:colOff>
      <xdr:row>126</xdr:row>
      <xdr:rowOff>1491265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8744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127</xdr:row>
      <xdr:rowOff>23961</xdr:rowOff>
    </xdr:from>
    <xdr:to>
      <xdr:col>8</xdr:col>
      <xdr:colOff>1836738</xdr:colOff>
      <xdr:row>127</xdr:row>
      <xdr:rowOff>1671466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10254318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128</xdr:row>
      <xdr:rowOff>23961</xdr:rowOff>
    </xdr:from>
    <xdr:to>
      <xdr:col>8</xdr:col>
      <xdr:colOff>1836738</xdr:colOff>
      <xdr:row>128</xdr:row>
      <xdr:rowOff>1671466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195521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129</xdr:row>
      <xdr:rowOff>24681</xdr:rowOff>
    </xdr:from>
    <xdr:to>
      <xdr:col>8</xdr:col>
      <xdr:colOff>1836738</xdr:colOff>
      <xdr:row>129</xdr:row>
      <xdr:rowOff>1737433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3651381"/>
          <a:ext cx="1778000" cy="171275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130</xdr:row>
      <xdr:rowOff>23961</xdr:rowOff>
    </xdr:from>
    <xdr:to>
      <xdr:col>8</xdr:col>
      <xdr:colOff>1836738</xdr:colOff>
      <xdr:row>130</xdr:row>
      <xdr:rowOff>1671466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541278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131</xdr:row>
      <xdr:rowOff>21357</xdr:rowOff>
    </xdr:from>
    <xdr:to>
      <xdr:col>8</xdr:col>
      <xdr:colOff>1836738</xdr:colOff>
      <xdr:row>131</xdr:row>
      <xdr:rowOff>2607539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7105632"/>
          <a:ext cx="1778000" cy="258618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132</xdr:row>
      <xdr:rowOff>23192</xdr:rowOff>
    </xdr:from>
    <xdr:to>
      <xdr:col>8</xdr:col>
      <xdr:colOff>1836738</xdr:colOff>
      <xdr:row>132</xdr:row>
      <xdr:rowOff>1491265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9736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133</xdr:row>
      <xdr:rowOff>23912</xdr:rowOff>
    </xdr:from>
    <xdr:to>
      <xdr:col>8</xdr:col>
      <xdr:colOff>1836738</xdr:colOff>
      <xdr:row>133</xdr:row>
      <xdr:rowOff>1557233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12515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134</xdr:row>
      <xdr:rowOff>23192</xdr:rowOff>
    </xdr:from>
    <xdr:to>
      <xdr:col>8</xdr:col>
      <xdr:colOff>1836738</xdr:colOff>
      <xdr:row>134</xdr:row>
      <xdr:rowOff>1491265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2831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135</xdr:row>
      <xdr:rowOff>21878</xdr:rowOff>
    </xdr:from>
    <xdr:to>
      <xdr:col>8</xdr:col>
      <xdr:colOff>1836738</xdr:colOff>
      <xdr:row>135</xdr:row>
      <xdr:rowOff>1587823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4345153"/>
          <a:ext cx="1778000" cy="156594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136</xdr:row>
      <xdr:rowOff>21754</xdr:rowOff>
    </xdr:from>
    <xdr:to>
      <xdr:col>8</xdr:col>
      <xdr:colOff>1836738</xdr:colOff>
      <xdr:row>136</xdr:row>
      <xdr:rowOff>2616673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161" y="20932792"/>
          <a:ext cx="1778000" cy="25949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137</xdr:row>
      <xdr:rowOff>21704</xdr:rowOff>
    </xdr:from>
    <xdr:to>
      <xdr:col>8</xdr:col>
      <xdr:colOff>1836738</xdr:colOff>
      <xdr:row>137</xdr:row>
      <xdr:rowOff>1359437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593129"/>
          <a:ext cx="1778000" cy="1337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138</xdr:row>
      <xdr:rowOff>23862</xdr:rowOff>
    </xdr:from>
    <xdr:to>
      <xdr:col>8</xdr:col>
      <xdr:colOff>1836738</xdr:colOff>
      <xdr:row>138</xdr:row>
      <xdr:rowOff>1430632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9976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139</xdr:row>
      <xdr:rowOff>22994</xdr:rowOff>
    </xdr:from>
    <xdr:to>
      <xdr:col>8</xdr:col>
      <xdr:colOff>1836738</xdr:colOff>
      <xdr:row>139</xdr:row>
      <xdr:rowOff>1386703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1442394"/>
          <a:ext cx="1778000" cy="136370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140</xdr:row>
      <xdr:rowOff>23192</xdr:rowOff>
    </xdr:from>
    <xdr:to>
      <xdr:col>8</xdr:col>
      <xdr:colOff>1836738</xdr:colOff>
      <xdr:row>140</xdr:row>
      <xdr:rowOff>1491265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2852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141</xdr:row>
      <xdr:rowOff>23192</xdr:rowOff>
    </xdr:from>
    <xdr:to>
      <xdr:col>8</xdr:col>
      <xdr:colOff>1836738</xdr:colOff>
      <xdr:row>141</xdr:row>
      <xdr:rowOff>1491265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4366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142</xdr:row>
      <xdr:rowOff>23912</xdr:rowOff>
    </xdr:from>
    <xdr:to>
      <xdr:col>8</xdr:col>
      <xdr:colOff>1836738</xdr:colOff>
      <xdr:row>142</xdr:row>
      <xdr:rowOff>1557233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58819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143</xdr:row>
      <xdr:rowOff>23813</xdr:rowOff>
    </xdr:from>
    <xdr:to>
      <xdr:col>8</xdr:col>
      <xdr:colOff>1836738</xdr:colOff>
      <xdr:row>143</xdr:row>
      <xdr:rowOff>1547813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463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144</xdr:row>
      <xdr:rowOff>23813</xdr:rowOff>
    </xdr:from>
    <xdr:to>
      <xdr:col>8</xdr:col>
      <xdr:colOff>1836738</xdr:colOff>
      <xdr:row>144</xdr:row>
      <xdr:rowOff>1547813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39046884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145</xdr:row>
      <xdr:rowOff>21258</xdr:rowOff>
    </xdr:from>
    <xdr:to>
      <xdr:col>8</xdr:col>
      <xdr:colOff>1836738</xdr:colOff>
      <xdr:row>145</xdr:row>
      <xdr:rowOff>1588464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06037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146</xdr:row>
      <xdr:rowOff>25400</xdr:rowOff>
    </xdr:from>
    <xdr:to>
      <xdr:col>8</xdr:col>
      <xdr:colOff>1836738</xdr:colOff>
      <xdr:row>146</xdr:row>
      <xdr:rowOff>1803400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223254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147</xdr:row>
      <xdr:rowOff>23912</xdr:rowOff>
    </xdr:from>
    <xdr:to>
      <xdr:col>8</xdr:col>
      <xdr:colOff>1836738</xdr:colOff>
      <xdr:row>147</xdr:row>
      <xdr:rowOff>1557233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40448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148</xdr:row>
      <xdr:rowOff>23912</xdr:rowOff>
    </xdr:from>
    <xdr:to>
      <xdr:col>8</xdr:col>
      <xdr:colOff>1836738</xdr:colOff>
      <xdr:row>148</xdr:row>
      <xdr:rowOff>1557233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5632841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149</xdr:row>
      <xdr:rowOff>23192</xdr:rowOff>
    </xdr:from>
    <xdr:to>
      <xdr:col>8</xdr:col>
      <xdr:colOff>1836738</xdr:colOff>
      <xdr:row>149</xdr:row>
      <xdr:rowOff>1488577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7206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150</xdr:row>
      <xdr:rowOff>23862</xdr:rowOff>
    </xdr:from>
    <xdr:to>
      <xdr:col>8</xdr:col>
      <xdr:colOff>1836738</xdr:colOff>
      <xdr:row>150</xdr:row>
      <xdr:rowOff>1443000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87216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151</xdr:row>
      <xdr:rowOff>23862</xdr:rowOff>
    </xdr:from>
    <xdr:to>
      <xdr:col>8</xdr:col>
      <xdr:colOff>1836738</xdr:colOff>
      <xdr:row>151</xdr:row>
      <xdr:rowOff>1443000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0191183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152</xdr:row>
      <xdr:rowOff>23192</xdr:rowOff>
    </xdr:from>
    <xdr:to>
      <xdr:col>8</xdr:col>
      <xdr:colOff>1836738</xdr:colOff>
      <xdr:row>152</xdr:row>
      <xdr:rowOff>1491265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16546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153</xdr:row>
      <xdr:rowOff>22820</xdr:rowOff>
    </xdr:from>
    <xdr:to>
      <xdr:col>8</xdr:col>
      <xdr:colOff>1836738</xdr:colOff>
      <xdr:row>153</xdr:row>
      <xdr:rowOff>1482122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3170106"/>
          <a:ext cx="1778000" cy="145930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154</xdr:row>
      <xdr:rowOff>23192</xdr:rowOff>
    </xdr:from>
    <xdr:to>
      <xdr:col>8</xdr:col>
      <xdr:colOff>1836738</xdr:colOff>
      <xdr:row>154</xdr:row>
      <xdr:rowOff>1491265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46740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155</xdr:row>
      <xdr:rowOff>23242</xdr:rowOff>
    </xdr:from>
    <xdr:to>
      <xdr:col>8</xdr:col>
      <xdr:colOff>1836738</xdr:colOff>
      <xdr:row>155</xdr:row>
      <xdr:rowOff>1348355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6188592"/>
          <a:ext cx="1778000" cy="132511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156</xdr:row>
      <xdr:rowOff>21158</xdr:rowOff>
    </xdr:from>
    <xdr:to>
      <xdr:col>8</xdr:col>
      <xdr:colOff>1836738</xdr:colOff>
      <xdr:row>156</xdr:row>
      <xdr:rowOff>1502825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755810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157</xdr:row>
      <xdr:rowOff>21357</xdr:rowOff>
    </xdr:from>
    <xdr:to>
      <xdr:col>8</xdr:col>
      <xdr:colOff>1836738</xdr:colOff>
      <xdr:row>157</xdr:row>
      <xdr:rowOff>1712200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082307"/>
          <a:ext cx="1778000" cy="169084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158</xdr:row>
      <xdr:rowOff>22796</xdr:rowOff>
    </xdr:from>
    <xdr:to>
      <xdr:col>8</xdr:col>
      <xdr:colOff>1836738</xdr:colOff>
      <xdr:row>158</xdr:row>
      <xdr:rowOff>1539325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08172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159</xdr:row>
      <xdr:rowOff>25400</xdr:rowOff>
    </xdr:from>
    <xdr:to>
      <xdr:col>8</xdr:col>
      <xdr:colOff>1836738</xdr:colOff>
      <xdr:row>159</xdr:row>
      <xdr:rowOff>1498600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23820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160</xdr:row>
      <xdr:rowOff>24780</xdr:rowOff>
    </xdr:from>
    <xdr:to>
      <xdr:col>8</xdr:col>
      <xdr:colOff>1836738</xdr:colOff>
      <xdr:row>160</xdr:row>
      <xdr:rowOff>1403976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3905380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161</xdr:row>
      <xdr:rowOff>23192</xdr:rowOff>
    </xdr:from>
    <xdr:to>
      <xdr:col>8</xdr:col>
      <xdr:colOff>1836738</xdr:colOff>
      <xdr:row>161</xdr:row>
      <xdr:rowOff>1491265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53325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162</xdr:row>
      <xdr:rowOff>23267</xdr:rowOff>
    </xdr:from>
    <xdr:to>
      <xdr:col>8</xdr:col>
      <xdr:colOff>1836738</xdr:colOff>
      <xdr:row>162</xdr:row>
      <xdr:rowOff>1591229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684709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163</xdr:row>
      <xdr:rowOff>22796</xdr:rowOff>
    </xdr:from>
    <xdr:to>
      <xdr:col>8</xdr:col>
      <xdr:colOff>1836738</xdr:colOff>
      <xdr:row>163</xdr:row>
      <xdr:rowOff>1539325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84753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164</xdr:row>
      <xdr:rowOff>24879</xdr:rowOff>
    </xdr:from>
    <xdr:to>
      <xdr:col>8</xdr:col>
      <xdr:colOff>1836738</xdr:colOff>
      <xdr:row>164</xdr:row>
      <xdr:rowOff>1565812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0039579"/>
          <a:ext cx="1778000" cy="15409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165</xdr:row>
      <xdr:rowOff>22796</xdr:rowOff>
    </xdr:from>
    <xdr:to>
      <xdr:col>8</xdr:col>
      <xdr:colOff>1836738</xdr:colOff>
      <xdr:row>165</xdr:row>
      <xdr:rowOff>1539325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162817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166</xdr:row>
      <xdr:rowOff>23192</xdr:rowOff>
    </xdr:from>
    <xdr:to>
      <xdr:col>8</xdr:col>
      <xdr:colOff>1836738</xdr:colOff>
      <xdr:row>166</xdr:row>
      <xdr:rowOff>1491265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3190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167</xdr:row>
      <xdr:rowOff>23192</xdr:rowOff>
    </xdr:from>
    <xdr:to>
      <xdr:col>8</xdr:col>
      <xdr:colOff>1836738</xdr:colOff>
      <xdr:row>167</xdr:row>
      <xdr:rowOff>1491265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47051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168</xdr:row>
      <xdr:rowOff>23192</xdr:rowOff>
    </xdr:from>
    <xdr:to>
      <xdr:col>8</xdr:col>
      <xdr:colOff>1836738</xdr:colOff>
      <xdr:row>168</xdr:row>
      <xdr:rowOff>1491265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6219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169</xdr:row>
      <xdr:rowOff>23192</xdr:rowOff>
    </xdr:from>
    <xdr:to>
      <xdr:col>8</xdr:col>
      <xdr:colOff>1836738</xdr:colOff>
      <xdr:row>169</xdr:row>
      <xdr:rowOff>1488577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7734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170</xdr:row>
      <xdr:rowOff>23192</xdr:rowOff>
    </xdr:from>
    <xdr:to>
      <xdr:col>8</xdr:col>
      <xdr:colOff>1836738</xdr:colOff>
      <xdr:row>170</xdr:row>
      <xdr:rowOff>1488577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9248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171</xdr:row>
      <xdr:rowOff>23192</xdr:rowOff>
    </xdr:from>
    <xdr:to>
      <xdr:col>8</xdr:col>
      <xdr:colOff>1836738</xdr:colOff>
      <xdr:row>171</xdr:row>
      <xdr:rowOff>1488577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07630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172</xdr:row>
      <xdr:rowOff>23862</xdr:rowOff>
    </xdr:from>
    <xdr:to>
      <xdr:col>8</xdr:col>
      <xdr:colOff>1836738</xdr:colOff>
      <xdr:row>172</xdr:row>
      <xdr:rowOff>1443000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2278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173</xdr:row>
      <xdr:rowOff>23192</xdr:rowOff>
    </xdr:from>
    <xdr:to>
      <xdr:col>8</xdr:col>
      <xdr:colOff>1836738</xdr:colOff>
      <xdr:row>173</xdr:row>
      <xdr:rowOff>1491265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3744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174</xdr:row>
      <xdr:rowOff>21258</xdr:rowOff>
    </xdr:from>
    <xdr:to>
      <xdr:col>8</xdr:col>
      <xdr:colOff>1836738</xdr:colOff>
      <xdr:row>174</xdr:row>
      <xdr:rowOff>1588464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85240579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175</xdr:row>
      <xdr:rowOff>23862</xdr:rowOff>
    </xdr:from>
    <xdr:to>
      <xdr:col>8</xdr:col>
      <xdr:colOff>1836738</xdr:colOff>
      <xdr:row>175</xdr:row>
      <xdr:rowOff>1443000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68692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176</xdr:row>
      <xdr:rowOff>23192</xdr:rowOff>
    </xdr:from>
    <xdr:to>
      <xdr:col>8</xdr:col>
      <xdr:colOff>1836738</xdr:colOff>
      <xdr:row>176</xdr:row>
      <xdr:rowOff>1491265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8335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177</xdr:row>
      <xdr:rowOff>21258</xdr:rowOff>
    </xdr:from>
    <xdr:to>
      <xdr:col>8</xdr:col>
      <xdr:colOff>1836738</xdr:colOff>
      <xdr:row>177</xdr:row>
      <xdr:rowOff>1588464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9847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178</xdr:row>
      <xdr:rowOff>24333</xdr:rowOff>
    </xdr:from>
    <xdr:to>
      <xdr:col>8</xdr:col>
      <xdr:colOff>1836738</xdr:colOff>
      <xdr:row>178</xdr:row>
      <xdr:rowOff>1633000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1460758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179</xdr:row>
      <xdr:rowOff>23862</xdr:rowOff>
    </xdr:from>
    <xdr:to>
      <xdr:col>8</xdr:col>
      <xdr:colOff>1836738</xdr:colOff>
      <xdr:row>179</xdr:row>
      <xdr:rowOff>1443000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3117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180</xdr:row>
      <xdr:rowOff>23192</xdr:rowOff>
    </xdr:from>
    <xdr:to>
      <xdr:col>8</xdr:col>
      <xdr:colOff>1836738</xdr:colOff>
      <xdr:row>180</xdr:row>
      <xdr:rowOff>1491265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45838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181</xdr:row>
      <xdr:rowOff>23192</xdr:rowOff>
    </xdr:from>
    <xdr:to>
      <xdr:col>8</xdr:col>
      <xdr:colOff>1836738</xdr:colOff>
      <xdr:row>181</xdr:row>
      <xdr:rowOff>1491265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6098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182</xdr:row>
      <xdr:rowOff>21258</xdr:rowOff>
    </xdr:from>
    <xdr:to>
      <xdr:col>8</xdr:col>
      <xdr:colOff>1836738</xdr:colOff>
      <xdr:row>182</xdr:row>
      <xdr:rowOff>1588464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7610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183</xdr:row>
      <xdr:rowOff>21704</xdr:rowOff>
    </xdr:from>
    <xdr:to>
      <xdr:col>8</xdr:col>
      <xdr:colOff>1836738</xdr:colOff>
      <xdr:row>183</xdr:row>
      <xdr:rowOff>1664237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9221004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184</xdr:row>
      <xdr:rowOff>23192</xdr:rowOff>
    </xdr:from>
    <xdr:to>
      <xdr:col>8</xdr:col>
      <xdr:colOff>1836738</xdr:colOff>
      <xdr:row>184</xdr:row>
      <xdr:rowOff>1491265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0908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185</xdr:row>
      <xdr:rowOff>21258</xdr:rowOff>
    </xdr:from>
    <xdr:to>
      <xdr:col>8</xdr:col>
      <xdr:colOff>1836738</xdr:colOff>
      <xdr:row>185</xdr:row>
      <xdr:rowOff>1588464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2420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186</xdr:row>
      <xdr:rowOff>23813</xdr:rowOff>
    </xdr:from>
    <xdr:to>
      <xdr:col>8</xdr:col>
      <xdr:colOff>1836738</xdr:colOff>
      <xdr:row>186</xdr:row>
      <xdr:rowOff>1547813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4033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187</xdr:row>
      <xdr:rowOff>23192</xdr:rowOff>
    </xdr:from>
    <xdr:to>
      <xdr:col>8</xdr:col>
      <xdr:colOff>1836738</xdr:colOff>
      <xdr:row>187</xdr:row>
      <xdr:rowOff>1488577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042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188</xdr:row>
      <xdr:rowOff>23862</xdr:rowOff>
    </xdr:from>
    <xdr:to>
      <xdr:col>8</xdr:col>
      <xdr:colOff>1836738</xdr:colOff>
      <xdr:row>188</xdr:row>
      <xdr:rowOff>1443000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07082648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189</xdr:row>
      <xdr:rowOff>23192</xdr:rowOff>
    </xdr:from>
    <xdr:to>
      <xdr:col>8</xdr:col>
      <xdr:colOff>1836738</xdr:colOff>
      <xdr:row>189</xdr:row>
      <xdr:rowOff>1491265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8585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190</xdr:row>
      <xdr:rowOff>21258</xdr:rowOff>
    </xdr:from>
    <xdr:to>
      <xdr:col>8</xdr:col>
      <xdr:colOff>1836738</xdr:colOff>
      <xdr:row>190</xdr:row>
      <xdr:rowOff>1588464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00981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191</xdr:row>
      <xdr:rowOff>23192</xdr:rowOff>
    </xdr:from>
    <xdr:to>
      <xdr:col>8</xdr:col>
      <xdr:colOff>1836738</xdr:colOff>
      <xdr:row>191</xdr:row>
      <xdr:rowOff>1491265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1709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192</xdr:row>
      <xdr:rowOff>23862</xdr:rowOff>
    </xdr:from>
    <xdr:to>
      <xdr:col>8</xdr:col>
      <xdr:colOff>1836738</xdr:colOff>
      <xdr:row>192</xdr:row>
      <xdr:rowOff>1443000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3224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193</xdr:row>
      <xdr:rowOff>23192</xdr:rowOff>
    </xdr:from>
    <xdr:to>
      <xdr:col>8</xdr:col>
      <xdr:colOff>1836738</xdr:colOff>
      <xdr:row>193</xdr:row>
      <xdr:rowOff>1491265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4691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194</xdr:row>
      <xdr:rowOff>22225</xdr:rowOff>
    </xdr:from>
    <xdr:to>
      <xdr:col>8</xdr:col>
      <xdr:colOff>1836738</xdr:colOff>
      <xdr:row>194</xdr:row>
      <xdr:rowOff>1597025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6204600"/>
          <a:ext cx="1778000" cy="15748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195</xdr:row>
      <xdr:rowOff>24780</xdr:rowOff>
    </xdr:from>
    <xdr:to>
      <xdr:col>8</xdr:col>
      <xdr:colOff>1836738</xdr:colOff>
      <xdr:row>195</xdr:row>
      <xdr:rowOff>1403976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7826405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196</xdr:row>
      <xdr:rowOff>23192</xdr:rowOff>
    </xdr:from>
    <xdr:to>
      <xdr:col>8</xdr:col>
      <xdr:colOff>1836738</xdr:colOff>
      <xdr:row>196</xdr:row>
      <xdr:rowOff>1491265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9253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197</xdr:row>
      <xdr:rowOff>23862</xdr:rowOff>
    </xdr:from>
    <xdr:to>
      <xdr:col>8</xdr:col>
      <xdr:colOff>1836738</xdr:colOff>
      <xdr:row>197</xdr:row>
      <xdr:rowOff>1443000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7687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198</xdr:row>
      <xdr:rowOff>23192</xdr:rowOff>
    </xdr:from>
    <xdr:to>
      <xdr:col>8</xdr:col>
      <xdr:colOff>1836738</xdr:colOff>
      <xdr:row>198</xdr:row>
      <xdr:rowOff>1488577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22348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199</xdr:row>
      <xdr:rowOff>23862</xdr:rowOff>
    </xdr:from>
    <xdr:to>
      <xdr:col>8</xdr:col>
      <xdr:colOff>1836738</xdr:colOff>
      <xdr:row>199</xdr:row>
      <xdr:rowOff>1443000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37500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200</xdr:row>
      <xdr:rowOff>23862</xdr:rowOff>
    </xdr:from>
    <xdr:to>
      <xdr:col>8</xdr:col>
      <xdr:colOff>1836738</xdr:colOff>
      <xdr:row>200</xdr:row>
      <xdr:rowOff>1443000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52168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201</xdr:row>
      <xdr:rowOff>23862</xdr:rowOff>
    </xdr:from>
    <xdr:to>
      <xdr:col>8</xdr:col>
      <xdr:colOff>1836738</xdr:colOff>
      <xdr:row>201</xdr:row>
      <xdr:rowOff>1443000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66837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202</xdr:row>
      <xdr:rowOff>23862</xdr:rowOff>
    </xdr:from>
    <xdr:to>
      <xdr:col>8</xdr:col>
      <xdr:colOff>1836738</xdr:colOff>
      <xdr:row>202</xdr:row>
      <xdr:rowOff>1443000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81505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203</xdr:row>
      <xdr:rowOff>21258</xdr:rowOff>
    </xdr:from>
    <xdr:to>
      <xdr:col>8</xdr:col>
      <xdr:colOff>1836738</xdr:colOff>
      <xdr:row>203</xdr:row>
      <xdr:rowOff>1588464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9614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204</xdr:row>
      <xdr:rowOff>21258</xdr:rowOff>
    </xdr:from>
    <xdr:to>
      <xdr:col>8</xdr:col>
      <xdr:colOff>1836738</xdr:colOff>
      <xdr:row>204</xdr:row>
      <xdr:rowOff>1588464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12245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205</xdr:row>
      <xdr:rowOff>21258</xdr:rowOff>
    </xdr:from>
    <xdr:to>
      <xdr:col>8</xdr:col>
      <xdr:colOff>1836738</xdr:colOff>
      <xdr:row>205</xdr:row>
      <xdr:rowOff>1588464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283428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206</xdr:row>
      <xdr:rowOff>21258</xdr:rowOff>
    </xdr:from>
    <xdr:to>
      <xdr:col>8</xdr:col>
      <xdr:colOff>1836738</xdr:colOff>
      <xdr:row>206</xdr:row>
      <xdr:rowOff>1588464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44440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207</xdr:row>
      <xdr:rowOff>23192</xdr:rowOff>
    </xdr:from>
    <xdr:to>
      <xdr:col>8</xdr:col>
      <xdr:colOff>1836738</xdr:colOff>
      <xdr:row>207</xdr:row>
      <xdr:rowOff>1491265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6055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208</xdr:row>
      <xdr:rowOff>23688</xdr:rowOff>
    </xdr:from>
    <xdr:to>
      <xdr:col>8</xdr:col>
      <xdr:colOff>1836738</xdr:colOff>
      <xdr:row>208</xdr:row>
      <xdr:rowOff>1662237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570638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209</xdr:row>
      <xdr:rowOff>23192</xdr:rowOff>
    </xdr:from>
    <xdr:to>
      <xdr:col>8</xdr:col>
      <xdr:colOff>1836738</xdr:colOff>
      <xdr:row>209</xdr:row>
      <xdr:rowOff>1491265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3919483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210</xdr:row>
      <xdr:rowOff>25202</xdr:rowOff>
    </xdr:from>
    <xdr:to>
      <xdr:col>8</xdr:col>
      <xdr:colOff>1836738</xdr:colOff>
      <xdr:row>210</xdr:row>
      <xdr:rowOff>1594026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0772552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211</xdr:row>
      <xdr:rowOff>21258</xdr:rowOff>
    </xdr:from>
    <xdr:to>
      <xdr:col>8</xdr:col>
      <xdr:colOff>1836738</xdr:colOff>
      <xdr:row>211</xdr:row>
      <xdr:rowOff>1607513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2387858"/>
          <a:ext cx="1778000" cy="158625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212</xdr:row>
      <xdr:rowOff>23688</xdr:rowOff>
    </xdr:from>
    <xdr:to>
      <xdr:col>8</xdr:col>
      <xdr:colOff>1836738</xdr:colOff>
      <xdr:row>212</xdr:row>
      <xdr:rowOff>1662237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4019063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213</xdr:row>
      <xdr:rowOff>23961</xdr:rowOff>
    </xdr:from>
    <xdr:to>
      <xdr:col>8</xdr:col>
      <xdr:colOff>1836738</xdr:colOff>
      <xdr:row>213</xdr:row>
      <xdr:rowOff>1671466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570526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214</xdr:row>
      <xdr:rowOff>25450</xdr:rowOff>
    </xdr:from>
    <xdr:to>
      <xdr:col>8</xdr:col>
      <xdr:colOff>1836738</xdr:colOff>
      <xdr:row>214</xdr:row>
      <xdr:rowOff>1622357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740220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215</xdr:row>
      <xdr:rowOff>25400</xdr:rowOff>
    </xdr:from>
    <xdr:to>
      <xdr:col>8</xdr:col>
      <xdr:colOff>1836738</xdr:colOff>
      <xdr:row>215</xdr:row>
      <xdr:rowOff>1651000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9049975"/>
          <a:ext cx="1778000" cy="16256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216</xdr:row>
      <xdr:rowOff>25202</xdr:rowOff>
    </xdr:from>
    <xdr:to>
      <xdr:col>8</xdr:col>
      <xdr:colOff>1836738</xdr:colOff>
      <xdr:row>216</xdr:row>
      <xdr:rowOff>1594026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072617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217</xdr:row>
      <xdr:rowOff>23192</xdr:rowOff>
    </xdr:from>
    <xdr:to>
      <xdr:col>8</xdr:col>
      <xdr:colOff>1836738</xdr:colOff>
      <xdr:row>217</xdr:row>
      <xdr:rowOff>1491265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343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218</xdr:row>
      <xdr:rowOff>25450</xdr:rowOff>
    </xdr:from>
    <xdr:to>
      <xdr:col>8</xdr:col>
      <xdr:colOff>1836738</xdr:colOff>
      <xdr:row>218</xdr:row>
      <xdr:rowOff>1622357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386015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219</xdr:row>
      <xdr:rowOff>25301</xdr:rowOff>
    </xdr:from>
    <xdr:to>
      <xdr:col>8</xdr:col>
      <xdr:colOff>1836738</xdr:colOff>
      <xdr:row>219</xdr:row>
      <xdr:rowOff>1698713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5507826"/>
          <a:ext cx="1778000" cy="167341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220</xdr:row>
      <xdr:rowOff>23192</xdr:rowOff>
    </xdr:from>
    <xdr:to>
      <xdr:col>8</xdr:col>
      <xdr:colOff>1836738</xdr:colOff>
      <xdr:row>220</xdr:row>
      <xdr:rowOff>1491265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7229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221</xdr:row>
      <xdr:rowOff>23192</xdr:rowOff>
    </xdr:from>
    <xdr:to>
      <xdr:col>8</xdr:col>
      <xdr:colOff>1836738</xdr:colOff>
      <xdr:row>221</xdr:row>
      <xdr:rowOff>1491265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87442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222</xdr:row>
      <xdr:rowOff>23862</xdr:rowOff>
    </xdr:from>
    <xdr:to>
      <xdr:col>8</xdr:col>
      <xdr:colOff>1836738</xdr:colOff>
      <xdr:row>222</xdr:row>
      <xdr:rowOff>1443000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02593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223</xdr:row>
      <xdr:rowOff>21158</xdr:rowOff>
    </xdr:from>
    <xdr:to>
      <xdr:col>8</xdr:col>
      <xdr:colOff>1836738</xdr:colOff>
      <xdr:row>223</xdr:row>
      <xdr:rowOff>1502825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1658194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224</xdr:row>
      <xdr:rowOff>23862</xdr:rowOff>
    </xdr:from>
    <xdr:to>
      <xdr:col>8</xdr:col>
      <xdr:colOff>1836738</xdr:colOff>
      <xdr:row>224</xdr:row>
      <xdr:rowOff>1443000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32502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225</xdr:row>
      <xdr:rowOff>23192</xdr:rowOff>
    </xdr:from>
    <xdr:to>
      <xdr:col>8</xdr:col>
      <xdr:colOff>1836738</xdr:colOff>
      <xdr:row>225</xdr:row>
      <xdr:rowOff>1491265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47163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226</xdr:row>
      <xdr:rowOff>23912</xdr:rowOff>
    </xdr:from>
    <xdr:to>
      <xdr:col>8</xdr:col>
      <xdr:colOff>1836738</xdr:colOff>
      <xdr:row>226</xdr:row>
      <xdr:rowOff>1557233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62315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227</xdr:row>
      <xdr:rowOff>25202</xdr:rowOff>
    </xdr:from>
    <xdr:to>
      <xdr:col>8</xdr:col>
      <xdr:colOff>1836738</xdr:colOff>
      <xdr:row>227</xdr:row>
      <xdr:rowOff>1594026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781402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228</xdr:row>
      <xdr:rowOff>23292</xdr:rowOff>
    </xdr:from>
    <xdr:to>
      <xdr:col>8</xdr:col>
      <xdr:colOff>1836738</xdr:colOff>
      <xdr:row>228</xdr:row>
      <xdr:rowOff>1615025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9361971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229</xdr:row>
      <xdr:rowOff>23316</xdr:rowOff>
    </xdr:from>
    <xdr:to>
      <xdr:col>8</xdr:col>
      <xdr:colOff>1836738</xdr:colOff>
      <xdr:row>229</xdr:row>
      <xdr:rowOff>1576908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71069691"/>
          <a:ext cx="1778000" cy="15535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230"/>
  <sheetViews>
    <sheetView tabSelected="1" zoomScale="70" zoomScaleNormal="70" workbookViewId="0">
      <pane ySplit="1" topLeftCell="A2" activePane="bottomLeft" state="frozen"/>
      <selection pane="bottomLeft" activeCell="G93" sqref="G93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8.425781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5" bestFit="1" customWidth="1"/>
    <col min="52" max="52" width="16.5703125" style="155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849</v>
      </c>
      <c r="AH1" s="142" t="s">
        <v>850</v>
      </c>
      <c r="AI1" s="142" t="s">
        <v>851</v>
      </c>
      <c r="AJ1" s="142" t="s">
        <v>852</v>
      </c>
      <c r="AK1" s="142" t="s">
        <v>853</v>
      </c>
      <c r="AL1" s="142" t="s">
        <v>854</v>
      </c>
      <c r="AM1" s="142" t="s">
        <v>855</v>
      </c>
      <c r="AN1" s="142" t="s">
        <v>856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1" t="s">
        <v>499</v>
      </c>
      <c r="AZ1" s="152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230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American Needle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230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230" si="2">0.05+0.05</f>
        <v>0.1</v>
      </c>
      <c r="AV2" s="56">
        <f t="shared" ref="AV2:AV230" si="3">IF(AU2&lt;&gt;"",AU2*1.5,"Требуется нетто")</f>
        <v>0.15000000000000002</v>
      </c>
      <c r="AW2" s="56" t="str">
        <f t="shared" ref="AW2:AW230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230" si="5">IF(AV2&lt;&gt;"",IFERROR(AQ2*AV2,"Требуются кол-во и брутто"),"Требуются кол-во и брутто")</f>
        <v>Требуются кол-во и брутто</v>
      </c>
      <c r="AY2" s="153"/>
      <c r="AZ2" s="154" t="str">
        <f t="shared" ref="AZ2:AZ230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230" si="7">IFERROR(IF(BB2,"-",IFERROR(IF(BA2&gt;0,0,1),"")),"")</f>
        <v/>
      </c>
      <c r="BD2" s="91"/>
    </row>
    <row r="3" spans="1:56" ht="120" customHeight="1">
      <c r="A3" s="43" t="str">
        <f t="shared" si="0"/>
        <v>19H001A-AMGCwhite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06-334-17</v>
      </c>
      <c r="C3" s="61" t="s">
        <v>2042</v>
      </c>
      <c r="D3" s="43" t="str">
        <f>VLOOKUP(C3,Names!A:B,2,0)</f>
        <v>American Golf Classic Lightweight Rope</v>
      </c>
      <c r="E3" s="43" t="str">
        <f>IF(F3&lt;&gt;"",IFERROR(VLOOKUP(F3,Категории!A:B,2,0),""),"Требуется категория")</f>
        <v>Бейсболки</v>
      </c>
      <c r="F3" s="44" t="s">
        <v>2315</v>
      </c>
      <c r="G3" s="63" t="s">
        <v>2715</v>
      </c>
      <c r="H3" s="44" t="s">
        <v>388</v>
      </c>
      <c r="I3" s="144"/>
      <c r="J3" s="57" t="str">
        <f>'1C'!$AF$1</f>
        <v>American Needle</v>
      </c>
      <c r="K3" s="102" t="s">
        <v>820</v>
      </c>
      <c r="L3" s="145" t="str">
        <f>IF(K3&lt;&gt;"",IFERROR(VLOOKUP(A3,'1C'!A:T,8,0),IFERROR(VLOOKUP(K3,Colors!D:E,2,0),"")),"")</f>
        <v>белый</v>
      </c>
      <c r="M3" s="145" t="str">
        <f>IF(K3&lt;&gt;"",IFERROR(VLOOKUP(A3,'1C'!A:T,18,0),IFERROR(VLOOKUP(K3,Colors!D:E,2,0),"")),"")</f>
        <v>белый</v>
      </c>
      <c r="N3" s="141" t="str">
        <f>Order!B1</f>
        <v>100% Хлопок</v>
      </c>
      <c r="O3" s="65"/>
      <c r="P3" s="63" t="s">
        <v>43</v>
      </c>
      <c r="Q3" s="59" t="str">
        <f>IF(P3&lt;&gt;"",IFERROR(VLOOKUP(P3,MaterialsTypes!F:G,2,0),IFERROR(VLOOKUP(N3,MaterialsTypes100,2,0),"")),IFERROR(VLOOKUP(N3,MaterialsTypes100,2,0),""))</f>
        <v>Текстиль, ткань</v>
      </c>
      <c r="R3" s="58" t="s">
        <v>382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66" t="str">
        <f>Order!A1</f>
        <v>BD</v>
      </c>
      <c r="AS3" s="56" t="str">
        <f ca="1">IF(BA3&gt;0,_xlfn.XLOOKUP(A3,'1C'!$A:$A,'1C'!P:P,"",0,),IF(AR3&lt;&gt;"",VLOOKUP(AR3,INDIRECT(SUBSTITUTE($J3," ","")&amp;"Manufactures"),3,0),"Требуется код страны"))</f>
        <v>American Needle, Inc; 1275 Busch Parkway, Buffalo Grove, IL 60089, USA</v>
      </c>
      <c r="AT3" s="56" t="str">
        <f ca="1">IF(BA3&gt;0,_xlfn.XLOOKUP(A3,'1C'!$A:$A,'1C'!O:O,"",0),IF(AR3&lt;&gt;"",VLOOKUP(AR3,INDIRECT(SUBSTITUTE($J3," ","")&amp;"Manufactures"),2,0),"Требуется код страны"))</f>
        <v>Бангладеш</v>
      </c>
      <c r="AU3" s="76">
        <f t="shared" si="2"/>
        <v>0.1</v>
      </c>
      <c r="AV3" s="43">
        <f t="shared" si="3"/>
        <v>0.15000000000000002</v>
      </c>
      <c r="AW3" s="43">
        <f t="shared" si="4"/>
        <v>0.60000000000000009</v>
      </c>
      <c r="AX3" s="43">
        <f t="shared" si="5"/>
        <v>0.90000000000000013</v>
      </c>
      <c r="AY3" s="155">
        <v>8.9249999999999989</v>
      </c>
      <c r="AZ3" s="156">
        <f t="shared" si="6"/>
        <v>53.55</v>
      </c>
      <c r="BA3" s="45">
        <f>IF(A3&lt;&gt;"",IF(_xlfn.XLOOKUP(A3,'1C'!A:A,'1C'!A:A,0,0)&gt;0,1,0),"")</f>
        <v>0</v>
      </c>
      <c r="BB3" s="149">
        <f>IF(C3&lt;&gt;"",IF(_xlfn.XLOOKUP(C3,'1C'!S:S,'1C'!S:S,0,0)&gt;0,0,1),"")</f>
        <v>0</v>
      </c>
      <c r="BC3" s="73">
        <f t="shared" si="7"/>
        <v>1</v>
      </c>
    </row>
    <row r="4" spans="1:56" ht="119.65" customHeight="1">
      <c r="A4" s="43" t="str">
        <f t="shared" si="0"/>
        <v>19H001A-CANYONkhaki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06-335-83</v>
      </c>
      <c r="C4" s="61" t="s">
        <v>2043</v>
      </c>
      <c r="D4" s="43" t="str">
        <f>VLOOKUP(C4,Names!A:B,2,0)</f>
        <v>Canyon CC Lightweight Rope</v>
      </c>
      <c r="E4" s="43" t="str">
        <f>IF(F4&lt;&gt;"",IFERROR(VLOOKUP(F4,Категории!A:B,2,0),""),"Требуется категория")</f>
        <v>Бейсболки</v>
      </c>
      <c r="F4" s="44" t="s">
        <v>2315</v>
      </c>
      <c r="G4" s="63" t="s">
        <v>2715</v>
      </c>
      <c r="H4" s="44" t="s">
        <v>388</v>
      </c>
      <c r="J4" s="57" t="str">
        <f>'1C'!$AF$1</f>
        <v>American Needle</v>
      </c>
      <c r="K4" s="101" t="s">
        <v>2262</v>
      </c>
      <c r="L4" s="58" t="s">
        <v>221</v>
      </c>
      <c r="M4" s="66" t="s">
        <v>63</v>
      </c>
      <c r="N4" s="141" t="str">
        <f>Order!B2</f>
        <v>100% Хлопок</v>
      </c>
      <c r="O4" s="65"/>
      <c r="P4" s="63" t="s">
        <v>43</v>
      </c>
      <c r="Q4" s="59" t="str">
        <f>IF(P4&lt;&gt;"",IFERROR(VLOOKUP(P4,MaterialsTypes!F:G,2,0),IFERROR(VLOOKUP(N4,MaterialsTypes100,2,0),"")),IFERROR(VLOOKUP(N4,MaterialsTypes100,2,0),""))</f>
        <v>Текстиль, ткань</v>
      </c>
      <c r="R4" s="58" t="s">
        <v>382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66" t="str">
        <f>Order!A2</f>
        <v>BD</v>
      </c>
      <c r="AS4" s="56" t="str">
        <f ca="1">IF(BA4&gt;0,_xlfn.XLOOKUP(A4,'1C'!$A:$A,'1C'!P:P,"",0,),IF(AR4&lt;&gt;"",VLOOKUP(AR4,INDIRECT(SUBSTITUTE($J4," ","")&amp;"Manufactures"),3,0),"Требуется код страны"))</f>
        <v>American Needle, Inc; 1275 Busch Parkway, Buffalo Grove, IL 60089, USA</v>
      </c>
      <c r="AT4" s="56" t="str">
        <f ca="1">IF(BA4&gt;0,_xlfn.XLOOKUP(A4,'1C'!$A:$A,'1C'!O:O,"",0),IF(AR4&lt;&gt;"",VLOOKUP(AR4,INDIRECT(SUBSTITUTE($J4," ","")&amp;"Manufactures"),2,0),"Требуется код страны"))</f>
        <v>Бангладеш</v>
      </c>
      <c r="AU4" s="76">
        <f t="shared" si="2"/>
        <v>0.1</v>
      </c>
      <c r="AV4" s="43">
        <f t="shared" si="3"/>
        <v>0.15000000000000002</v>
      </c>
      <c r="AW4" s="43">
        <f t="shared" si="4"/>
        <v>0.60000000000000009</v>
      </c>
      <c r="AX4" s="43">
        <f t="shared" si="5"/>
        <v>0.90000000000000013</v>
      </c>
      <c r="AY4" s="155">
        <v>8.9249999999999989</v>
      </c>
      <c r="AZ4" s="156">
        <f t="shared" si="6"/>
        <v>53.55</v>
      </c>
      <c r="BA4" s="45">
        <f>IF(A4&lt;&gt;"",IF(_xlfn.XLOOKUP(A4,'1C'!A:A,'1C'!A:A,0,0)&gt;0,1,0),"")</f>
        <v>0</v>
      </c>
      <c r="BB4" s="149">
        <f>IF(C4&lt;&gt;"",IF(_xlfn.XLOOKUP(C4,'1C'!S:S,'1C'!S:S,0,0)&gt;0,0,1),"")</f>
        <v>0</v>
      </c>
      <c r="BC4" s="73">
        <f t="shared" si="7"/>
        <v>1</v>
      </c>
    </row>
    <row r="5" spans="1:56" ht="119.65" customHeight="1">
      <c r="A5" s="43" t="str">
        <f t="shared" si="0"/>
        <v>19H001A-CHGOOnavy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06-336-16</v>
      </c>
      <c r="C5" s="61" t="s">
        <v>2044</v>
      </c>
      <c r="D5" s="43" t="str">
        <f>VLOOKUP(C5,Names!A:B,2,0)</f>
        <v>Chicago Open Lightweight Rope</v>
      </c>
      <c r="E5" s="43" t="str">
        <f>IF(F5&lt;&gt;"",IFERROR(VLOOKUP(F5,Категории!A:B,2,0),""),"Требуется категория")</f>
        <v>Бейсболки</v>
      </c>
      <c r="F5" s="44" t="s">
        <v>2315</v>
      </c>
      <c r="G5" s="63" t="s">
        <v>2715</v>
      </c>
      <c r="H5" s="44" t="s">
        <v>388</v>
      </c>
      <c r="J5" s="57" t="str">
        <f>'1C'!$AF$1</f>
        <v>American Needle</v>
      </c>
      <c r="K5" s="101" t="s">
        <v>818</v>
      </c>
      <c r="L5" s="59" t="str">
        <f>IF(K5&lt;&gt;"",IFERROR(VLOOKUP(A5,'1C'!A:T,8,0),IFERROR(VLOOKUP(K5,Colors!D:E,2,0),"")),"")</f>
        <v>темно-синий</v>
      </c>
      <c r="M5" s="145" t="str">
        <f>IF(K5&lt;&gt;"",IFERROR(VLOOKUP(A5,'1C'!A:T,18,0),IFERROR(VLOOKUP(K5,Colors!D:E,2,0),"")),"")</f>
        <v>темно-синий</v>
      </c>
      <c r="N5" s="141" t="str">
        <f>Order!B3</f>
        <v>100% Хлопок</v>
      </c>
      <c r="O5" s="65"/>
      <c r="P5" s="63" t="s">
        <v>43</v>
      </c>
      <c r="Q5" s="59" t="str">
        <f>IF(P5&lt;&gt;"",IFERROR(VLOOKUP(P5,MaterialsTypes!F:G,2,0),IFERROR(VLOOKUP(N5,MaterialsTypes100,2,0),"")),IFERROR(VLOOKUP(N5,MaterialsTypes100,2,0),""))</f>
        <v>Текстиль, ткань</v>
      </c>
      <c r="R5" s="58" t="s">
        <v>382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66" t="str">
        <f>Order!A3</f>
        <v>BD</v>
      </c>
      <c r="AS5" s="56" t="str">
        <f ca="1">IF(BA5&gt;0,_xlfn.XLOOKUP(A5,'1C'!$A:$A,'1C'!P:P,"",0,),IF(AR5&lt;&gt;"",VLOOKUP(AR5,INDIRECT(SUBSTITUTE($J5," ","")&amp;"Manufactures"),3,0),"Требуется код страны"))</f>
        <v>American Needle, Inc; 1275 Busch Parkway, Buffalo Grove, IL 60089, USA</v>
      </c>
      <c r="AT5" s="56" t="str">
        <f ca="1">IF(BA5&gt;0,_xlfn.XLOOKUP(A5,'1C'!$A:$A,'1C'!O:O,"",0),IF(AR5&lt;&gt;"",VLOOKUP(AR5,INDIRECT(SUBSTITUTE($J5," ","")&amp;"Manufactures"),2,0),"Требуется код страны"))</f>
        <v>Бангладеш</v>
      </c>
      <c r="AU5" s="76">
        <f t="shared" si="2"/>
        <v>0.1</v>
      </c>
      <c r="AV5" s="43">
        <f t="shared" si="3"/>
        <v>0.15000000000000002</v>
      </c>
      <c r="AW5" s="43">
        <f t="shared" si="4"/>
        <v>0.60000000000000009</v>
      </c>
      <c r="AX5" s="43">
        <f t="shared" si="5"/>
        <v>0.90000000000000013</v>
      </c>
      <c r="AY5" s="155">
        <v>8.9249999999999989</v>
      </c>
      <c r="AZ5" s="156">
        <f t="shared" si="6"/>
        <v>53.55</v>
      </c>
      <c r="BA5" s="45">
        <f>IF(A5&lt;&gt;"",IF(_xlfn.XLOOKUP(A5,'1C'!A:A,'1C'!A:A,0,0)&gt;0,1,0),"")</f>
        <v>0</v>
      </c>
      <c r="BB5" s="149">
        <f>IF(C5&lt;&gt;"",IF(_xlfn.XLOOKUP(C5,'1C'!S:S,'1C'!S:S,0,0)&gt;0,0,1),"")</f>
        <v>0</v>
      </c>
      <c r="BC5" s="73">
        <f t="shared" si="7"/>
        <v>1</v>
      </c>
    </row>
    <row r="6" spans="1:56" ht="129.4" customHeight="1">
      <c r="A6" s="43" t="str">
        <f t="shared" si="0"/>
        <v>19H001A-DESERTroyal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06-337-06</v>
      </c>
      <c r="C6" s="44" t="s">
        <v>2045</v>
      </c>
      <c r="D6" s="43" t="str">
        <f>VLOOKUP(C6,Names!A:B,2,0)</f>
        <v>Desert Classic Lightweight Rope</v>
      </c>
      <c r="E6" s="43" t="str">
        <f>IF(F6&lt;&gt;"",IFERROR(VLOOKUP(F6,Категории!A:B,2,0),""),"Требуется категория")</f>
        <v>Бейсболки</v>
      </c>
      <c r="F6" s="44" t="s">
        <v>2315</v>
      </c>
      <c r="G6" s="63" t="s">
        <v>2715</v>
      </c>
      <c r="H6" s="44" t="s">
        <v>388</v>
      </c>
      <c r="J6" s="57" t="str">
        <f>'1C'!$AF$1</f>
        <v>American Needle</v>
      </c>
      <c r="K6" s="103" t="s">
        <v>1576</v>
      </c>
      <c r="L6" s="58" t="s">
        <v>71</v>
      </c>
      <c r="M6" s="66"/>
      <c r="N6" s="141" t="str">
        <f>Order!B4</f>
        <v>100% Хлопок</v>
      </c>
      <c r="O6" s="65"/>
      <c r="P6" s="63" t="s">
        <v>43</v>
      </c>
      <c r="Q6" s="59" t="str">
        <f>IF(P6&lt;&gt;"",IFERROR(VLOOKUP(P6,MaterialsTypes!F:G,2,0),IFERROR(VLOOKUP(N6,MaterialsTypes100,2,0),"")),IFERROR(VLOOKUP(N6,MaterialsTypes100,2,0),""))</f>
        <v>Текстиль, ткань</v>
      </c>
      <c r="R6" s="58" t="s">
        <v>382</v>
      </c>
      <c r="S6" s="58">
        <v>12</v>
      </c>
      <c r="V6" s="58"/>
      <c r="X6" s="58"/>
      <c r="Z6" s="58"/>
      <c r="AB6" s="58"/>
      <c r="AD6" s="58"/>
      <c r="AQ6" s="57">
        <f t="shared" si="1"/>
        <v>12</v>
      </c>
      <c r="AR6" s="66" t="str">
        <f>Order!A4</f>
        <v>BD</v>
      </c>
      <c r="AS6" s="56" t="str">
        <f ca="1">IF(BA6&gt;0,_xlfn.XLOOKUP(A6,'1C'!$A:$A,'1C'!P:P,"",0,),IF(AR6&lt;&gt;"",VLOOKUP(AR6,INDIRECT(SUBSTITUTE($J6," ","")&amp;"Manufactures"),3,0),"Требуется код страны"))</f>
        <v>American Needle, Inc; 1275 Busch Parkway, Buffalo Grove, IL 60089, USA</v>
      </c>
      <c r="AT6" s="56" t="str">
        <f ca="1">IF(BA6&gt;0,_xlfn.XLOOKUP(A6,'1C'!$A:$A,'1C'!O:O,"",0),IF(AR6&lt;&gt;"",VLOOKUP(AR6,INDIRECT(SUBSTITUTE($J6," ","")&amp;"Manufactures"),2,0),"Требуется код страны"))</f>
        <v>Бангладеш</v>
      </c>
      <c r="AU6" s="76">
        <f t="shared" si="2"/>
        <v>0.1</v>
      </c>
      <c r="AV6" s="43">
        <f t="shared" si="3"/>
        <v>0.15000000000000002</v>
      </c>
      <c r="AW6" s="43">
        <f t="shared" si="4"/>
        <v>1.2000000000000002</v>
      </c>
      <c r="AX6" s="43">
        <f t="shared" si="5"/>
        <v>1.8000000000000003</v>
      </c>
      <c r="AY6" s="155">
        <v>8.9249999999999989</v>
      </c>
      <c r="AZ6" s="156">
        <f t="shared" si="6"/>
        <v>107.1</v>
      </c>
      <c r="BA6" s="45">
        <f>IF(A6&lt;&gt;"",IF(_xlfn.XLOOKUP(A6,'1C'!A:A,'1C'!A:A,0,0)&gt;0,1,0),"")</f>
        <v>0</v>
      </c>
      <c r="BB6" s="149">
        <f>IF(C6&lt;&gt;"",IF(_xlfn.XLOOKUP(C6,'1C'!S:S,'1C'!S:S,0,0)&gt;0,0,1),"")</f>
        <v>0</v>
      </c>
      <c r="BC6" s="73">
        <f t="shared" si="7"/>
        <v>1</v>
      </c>
    </row>
    <row r="7" spans="1:56" ht="128.65" customHeight="1">
      <c r="A7" s="43" t="str">
        <f t="shared" si="0"/>
        <v>19H001A-GOLFDgrass green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06-338-11</v>
      </c>
      <c r="C7" s="44" t="s">
        <v>2046</v>
      </c>
      <c r="D7" s="43" t="str">
        <f>VLOOKUP(C7,Names!A:B,2,0)</f>
        <v>Golf Day Lightweight Rope</v>
      </c>
      <c r="E7" s="43" t="str">
        <f>IF(F7&lt;&gt;"",IFERROR(VLOOKUP(F7,Категории!A:B,2,0),""),"Требуется категория")</f>
        <v>Бейсболки</v>
      </c>
      <c r="F7" s="44" t="s">
        <v>2315</v>
      </c>
      <c r="G7" s="63" t="s">
        <v>2715</v>
      </c>
      <c r="H7" s="44" t="s">
        <v>388</v>
      </c>
      <c r="J7" s="57" t="str">
        <f>'1C'!$AF$1</f>
        <v>American Needle</v>
      </c>
      <c r="K7" s="103" t="s">
        <v>2263</v>
      </c>
      <c r="L7" s="58" t="s">
        <v>60</v>
      </c>
      <c r="M7" s="66"/>
      <c r="N7" s="141" t="str">
        <f>Order!B5</f>
        <v>100% Хлопок</v>
      </c>
      <c r="O7" s="65"/>
      <c r="P7" s="63" t="s">
        <v>43</v>
      </c>
      <c r="Q7" s="59" t="str">
        <f>IF(P7&lt;&gt;"",IFERROR(VLOOKUP(P7,MaterialsTypes!F:G,2,0),IFERROR(VLOOKUP(N7,MaterialsTypes100,2,0),"")),IFERROR(VLOOKUP(N7,MaterialsTypes100,2,0),""))</f>
        <v>Текстиль, ткань</v>
      </c>
      <c r="R7" s="58" t="s">
        <v>382</v>
      </c>
      <c r="S7" s="58">
        <v>6</v>
      </c>
      <c r="V7" s="58"/>
      <c r="X7" s="58"/>
      <c r="Z7" s="58"/>
      <c r="AB7" s="58"/>
      <c r="AD7" s="58"/>
      <c r="AQ7" s="57">
        <f t="shared" si="1"/>
        <v>6</v>
      </c>
      <c r="AR7" s="66" t="str">
        <f>Order!A5</f>
        <v>BD</v>
      </c>
      <c r="AS7" s="56" t="str">
        <f ca="1">IF(BA7&gt;0,_xlfn.XLOOKUP(A7,'1C'!$A:$A,'1C'!P:P,"",0,),IF(AR7&lt;&gt;"",VLOOKUP(AR7,INDIRECT(SUBSTITUTE($J7," ","")&amp;"Manufactures"),3,0),"Требуется код страны"))</f>
        <v>American Needle, Inc; 1275 Busch Parkway, Buffalo Grove, IL 60089, USA</v>
      </c>
      <c r="AT7" s="56" t="str">
        <f ca="1">IF(BA7&gt;0,_xlfn.XLOOKUP(A7,'1C'!$A:$A,'1C'!O:O,"",0),IF(AR7&lt;&gt;"",VLOOKUP(AR7,INDIRECT(SUBSTITUTE($J7," ","")&amp;"Manufactures"),2,0),"Требуется код страны"))</f>
        <v>Бангладеш</v>
      </c>
      <c r="AU7" s="76">
        <f t="shared" si="2"/>
        <v>0.1</v>
      </c>
      <c r="AV7" s="43">
        <f t="shared" si="3"/>
        <v>0.15000000000000002</v>
      </c>
      <c r="AW7" s="43">
        <f t="shared" si="4"/>
        <v>0.60000000000000009</v>
      </c>
      <c r="AX7" s="43">
        <f t="shared" si="5"/>
        <v>0.90000000000000013</v>
      </c>
      <c r="AY7" s="155">
        <v>8.9249999999999989</v>
      </c>
      <c r="AZ7" s="156">
        <f t="shared" si="6"/>
        <v>53.55</v>
      </c>
      <c r="BA7" s="45">
        <f>IF(A7&lt;&gt;"",IF(_xlfn.XLOOKUP(A7,'1C'!A:A,'1C'!A:A,0,0)&gt;0,1,0),"")</f>
        <v>0</v>
      </c>
      <c r="BB7" s="149">
        <f>IF(C7&lt;&gt;"",IF(_xlfn.XLOOKUP(C7,'1C'!S:S,'1C'!S:S,0,0)&gt;0,0,1),"")</f>
        <v>0</v>
      </c>
      <c r="BC7" s="73">
        <f t="shared" si="7"/>
        <v>1</v>
      </c>
    </row>
    <row r="8" spans="1:56" ht="115.7" customHeight="1">
      <c r="A8" s="43" t="str">
        <f t="shared" si="0"/>
        <v>19H001A-HAWAOlemon ice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06-339-20</v>
      </c>
      <c r="C8" s="44" t="s">
        <v>2047</v>
      </c>
      <c r="D8" s="43" t="str">
        <f>VLOOKUP(C8,Names!A:B,2,0)</f>
        <v>Hawaiian Open Lightweight Rope</v>
      </c>
      <c r="E8" s="43" t="str">
        <f>IF(F8&lt;&gt;"",IFERROR(VLOOKUP(F8,Категории!A:B,2,0),""),"Требуется категория")</f>
        <v>Бейсболки</v>
      </c>
      <c r="F8" s="44" t="s">
        <v>2315</v>
      </c>
      <c r="G8" s="63" t="s">
        <v>2715</v>
      </c>
      <c r="H8" s="44" t="s">
        <v>388</v>
      </c>
      <c r="J8" s="57" t="str">
        <f>'1C'!$AF$1</f>
        <v>American Needle</v>
      </c>
      <c r="K8" s="103" t="s">
        <v>2264</v>
      </c>
      <c r="L8" s="58" t="s">
        <v>750</v>
      </c>
      <c r="M8" s="66"/>
      <c r="N8" s="141" t="str">
        <f>Order!B6</f>
        <v>100% Хлопок</v>
      </c>
      <c r="O8" s="65"/>
      <c r="P8" s="63" t="s">
        <v>43</v>
      </c>
      <c r="Q8" s="59" t="str">
        <f>IF(P8&lt;&gt;"",IFERROR(VLOOKUP(P8,MaterialsTypes!F:G,2,0),IFERROR(VLOOKUP(N8,MaterialsTypes100,2,0),"")),IFERROR(VLOOKUP(N8,MaterialsTypes100,2,0),""))</f>
        <v>Текстиль, ткань</v>
      </c>
      <c r="R8" s="58" t="s">
        <v>382</v>
      </c>
      <c r="S8" s="58">
        <v>12</v>
      </c>
      <c r="V8" s="58"/>
      <c r="X8" s="58"/>
      <c r="Z8" s="58"/>
      <c r="AB8" s="58"/>
      <c r="AD8" s="58"/>
      <c r="AQ8" s="57">
        <f t="shared" si="1"/>
        <v>12</v>
      </c>
      <c r="AR8" s="66" t="str">
        <f>Order!A6</f>
        <v>BD</v>
      </c>
      <c r="AS8" s="56" t="str">
        <f ca="1">IF(BA8&gt;0,_xlfn.XLOOKUP(A8,'1C'!$A:$A,'1C'!P:P,"",0,),IF(AR8&lt;&gt;"",VLOOKUP(AR8,INDIRECT(SUBSTITUTE($J8," ","")&amp;"Manufactures"),3,0),"Требуется код страны"))</f>
        <v>American Needle, Inc; 1275 Busch Parkway, Buffalo Grove, IL 60089, USA</v>
      </c>
      <c r="AT8" s="56" t="str">
        <f ca="1">IF(BA8&gt;0,_xlfn.XLOOKUP(A8,'1C'!$A:$A,'1C'!O:O,"",0),IF(AR8&lt;&gt;"",VLOOKUP(AR8,INDIRECT(SUBSTITUTE($J8," ","")&amp;"Manufactures"),2,0),"Требуется код страны"))</f>
        <v>Бангладеш</v>
      </c>
      <c r="AU8" s="76">
        <f t="shared" si="2"/>
        <v>0.1</v>
      </c>
      <c r="AV8" s="43">
        <f t="shared" si="3"/>
        <v>0.15000000000000002</v>
      </c>
      <c r="AW8" s="43">
        <f t="shared" si="4"/>
        <v>1.2000000000000002</v>
      </c>
      <c r="AX8" s="43">
        <f t="shared" si="5"/>
        <v>1.8000000000000003</v>
      </c>
      <c r="AY8" s="155">
        <v>8.9249999999999989</v>
      </c>
      <c r="AZ8" s="156">
        <f t="shared" si="6"/>
        <v>107.1</v>
      </c>
      <c r="BA8" s="45">
        <f>IF(A8&lt;&gt;"",IF(_xlfn.XLOOKUP(A8,'1C'!A:A,'1C'!A:A,0,0)&gt;0,1,0),"")</f>
        <v>0</v>
      </c>
      <c r="BB8" s="149">
        <f>IF(C8&lt;&gt;"",IF(_xlfn.XLOOKUP(C8,'1C'!S:S,'1C'!S:S,0,0)&gt;0,0,1),"")</f>
        <v>0</v>
      </c>
      <c r="BC8" s="73">
        <f t="shared" si="7"/>
        <v>1</v>
      </c>
    </row>
    <row r="9" spans="1:56" ht="124.7" customHeight="1">
      <c r="A9" s="43" t="str">
        <f t="shared" si="0"/>
        <v>19H001A-MUSICCstone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06-340-01</v>
      </c>
      <c r="C9" s="44" t="s">
        <v>2048</v>
      </c>
      <c r="D9" s="43" t="str">
        <f>VLOOKUP(C9,Names!A:B,2,0)</f>
        <v>Music City Lightweight Rope</v>
      </c>
      <c r="E9" s="43" t="str">
        <f>IF(F9&lt;&gt;"",IFERROR(VLOOKUP(F9,Категории!A:B,2,0),""),"Требуется категория")</f>
        <v>Бейсболки</v>
      </c>
      <c r="F9" s="44" t="s">
        <v>2315</v>
      </c>
      <c r="G9" s="63" t="s">
        <v>2715</v>
      </c>
      <c r="H9" s="44" t="s">
        <v>388</v>
      </c>
      <c r="J9" s="57" t="str">
        <f>'1C'!$AF$1</f>
        <v>American Needle</v>
      </c>
      <c r="K9" s="103" t="s">
        <v>2265</v>
      </c>
      <c r="L9" s="58" t="s">
        <v>231</v>
      </c>
      <c r="M9" s="66"/>
      <c r="N9" s="141" t="str">
        <f>Order!B7</f>
        <v>100% Хлопок</v>
      </c>
      <c r="O9" s="65"/>
      <c r="P9" s="63" t="s">
        <v>43</v>
      </c>
      <c r="Q9" s="59" t="str">
        <f>IF(P9&lt;&gt;"",IFERROR(VLOOKUP(P9,MaterialsTypes!F:G,2,0),IFERROR(VLOOKUP(N9,MaterialsTypes100,2,0),"")),IFERROR(VLOOKUP(N9,MaterialsTypes100,2,0),""))</f>
        <v>Текстиль, ткань</v>
      </c>
      <c r="R9" s="58" t="s">
        <v>382</v>
      </c>
      <c r="S9" s="58">
        <v>6</v>
      </c>
      <c r="V9" s="58"/>
      <c r="X9" s="58"/>
      <c r="Z9" s="58"/>
      <c r="AB9" s="58"/>
      <c r="AD9" s="58"/>
      <c r="AQ9" s="57">
        <f t="shared" si="1"/>
        <v>6</v>
      </c>
      <c r="AR9" s="66" t="str">
        <f>Order!A7</f>
        <v>BD</v>
      </c>
      <c r="AS9" s="56" t="str">
        <f ca="1">IF(BA9&gt;0,_xlfn.XLOOKUP(A9,'1C'!$A:$A,'1C'!P:P,"",0,),IF(AR9&lt;&gt;"",VLOOKUP(AR9,INDIRECT(SUBSTITUTE($J9," ","")&amp;"Manufactures"),3,0),"Требуется код страны"))</f>
        <v>American Needle, Inc; 1275 Busch Parkway, Buffalo Grove, IL 60089, USA</v>
      </c>
      <c r="AT9" s="56" t="str">
        <f ca="1">IF(BA9&gt;0,_xlfn.XLOOKUP(A9,'1C'!$A:$A,'1C'!O:O,"",0),IF(AR9&lt;&gt;"",VLOOKUP(AR9,INDIRECT(SUBSTITUTE($J9," ","")&amp;"Manufactures"),2,0),"Требуется код страны"))</f>
        <v>Бангладеш</v>
      </c>
      <c r="AU9" s="76">
        <f t="shared" si="2"/>
        <v>0.1</v>
      </c>
      <c r="AV9" s="43">
        <f t="shared" si="3"/>
        <v>0.15000000000000002</v>
      </c>
      <c r="AW9" s="43">
        <f t="shared" si="4"/>
        <v>0.60000000000000009</v>
      </c>
      <c r="AX9" s="43">
        <f t="shared" si="5"/>
        <v>0.90000000000000013</v>
      </c>
      <c r="AY9" s="155">
        <v>8.9249999999999989</v>
      </c>
      <c r="AZ9" s="156">
        <f t="shared" si="6"/>
        <v>53.55</v>
      </c>
      <c r="BA9" s="45">
        <f>IF(A9&lt;&gt;"",IF(_xlfn.XLOOKUP(A9,'1C'!A:A,'1C'!A:A,0,0)&gt;0,1,0),"")</f>
        <v>0</v>
      </c>
      <c r="BB9" s="149">
        <f>IF(C9&lt;&gt;"",IF(_xlfn.XLOOKUP(C9,'1C'!S:S,'1C'!S:S,0,0)&gt;0,0,1),"")</f>
        <v>0</v>
      </c>
      <c r="BC9" s="73">
        <f t="shared" si="7"/>
        <v>1</v>
      </c>
    </row>
    <row r="10" spans="1:56" ht="120" customHeight="1">
      <c r="A10" s="43" t="str">
        <f t="shared" si="0"/>
        <v>19H001A-TUSCONnavy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06-341-16</v>
      </c>
      <c r="C10" s="44" t="s">
        <v>2049</v>
      </c>
      <c r="D10" s="43" t="str">
        <f>VLOOKUP(C10,Names!A:B,2,0)</f>
        <v>Tuscon Open Lightweight Rope</v>
      </c>
      <c r="E10" s="43" t="str">
        <f>IF(F10&lt;&gt;"",IFERROR(VLOOKUP(F10,Категории!A:B,2,0),""),"Требуется категория")</f>
        <v>Бейсболки</v>
      </c>
      <c r="F10" s="44" t="s">
        <v>2315</v>
      </c>
      <c r="G10" s="63" t="s">
        <v>2715</v>
      </c>
      <c r="H10" s="44" t="s">
        <v>388</v>
      </c>
      <c r="J10" s="57" t="str">
        <f>'1C'!$AF$1</f>
        <v>American Needle</v>
      </c>
      <c r="K10" s="103" t="s">
        <v>818</v>
      </c>
      <c r="L10" s="59" t="str">
        <f>IF(K10&lt;&gt;"",IFERROR(VLOOKUP(A10,'1C'!A:T,8,0),IFERROR(VLOOKUP(K10,Colors!D:E,2,0),"")),"")</f>
        <v>темно-синий</v>
      </c>
      <c r="M10" s="145" t="str">
        <f>IF(K10&lt;&gt;"",IFERROR(VLOOKUP(A10,'1C'!A:T,18,0),IFERROR(VLOOKUP(K10,Colors!D:E,2,0),"")),"")</f>
        <v>темно-синий</v>
      </c>
      <c r="N10" s="141" t="str">
        <f>Order!B8</f>
        <v>100% Хлопок</v>
      </c>
      <c r="O10" s="65"/>
      <c r="P10" s="63" t="s">
        <v>43</v>
      </c>
      <c r="Q10" s="59" t="str">
        <f>IF(P10&lt;&gt;"",IFERROR(VLOOKUP(P10,MaterialsTypes!F:G,2,0),IFERROR(VLOOKUP(N10,MaterialsTypes100,2,0),"")),IFERROR(VLOOKUP(N10,MaterialsTypes100,2,0),""))</f>
        <v>Текстиль, ткань</v>
      </c>
      <c r="R10" s="58" t="s">
        <v>382</v>
      </c>
      <c r="S10" s="58">
        <v>12</v>
      </c>
      <c r="V10" s="58"/>
      <c r="X10" s="58"/>
      <c r="Z10" s="58"/>
      <c r="AB10" s="58"/>
      <c r="AD10" s="58"/>
      <c r="AQ10" s="57">
        <f t="shared" si="1"/>
        <v>12</v>
      </c>
      <c r="AR10" s="66" t="str">
        <f>Order!A8</f>
        <v>BD</v>
      </c>
      <c r="AS10" s="56" t="str">
        <f ca="1">IF(BA10&gt;0,_xlfn.XLOOKUP(A10,'1C'!$A:$A,'1C'!P:P,"",0,),IF(AR10&lt;&gt;"",VLOOKUP(AR10,INDIRECT(SUBSTITUTE($J10," ","")&amp;"Manufactures"),3,0),"Требуется код страны"))</f>
        <v>American Needle, Inc; 1275 Busch Parkway, Buffalo Grove, IL 60089, USA</v>
      </c>
      <c r="AT10" s="56" t="str">
        <f ca="1">IF(BA10&gt;0,_xlfn.XLOOKUP(A10,'1C'!$A:$A,'1C'!O:O,"",0),IF(AR10&lt;&gt;"",VLOOKUP(AR10,INDIRECT(SUBSTITUTE($J10," ","")&amp;"Manufactures"),2,0),"Требуется код страны"))</f>
        <v>Бангладеш</v>
      </c>
      <c r="AU10" s="76">
        <f t="shared" si="2"/>
        <v>0.1</v>
      </c>
      <c r="AV10" s="43">
        <f t="shared" si="3"/>
        <v>0.15000000000000002</v>
      </c>
      <c r="AW10" s="43">
        <f t="shared" si="4"/>
        <v>1.2000000000000002</v>
      </c>
      <c r="AX10" s="43">
        <f t="shared" si="5"/>
        <v>1.8000000000000003</v>
      </c>
      <c r="AY10" s="155">
        <v>8.9249999999999989</v>
      </c>
      <c r="AZ10" s="156">
        <f t="shared" si="6"/>
        <v>107.1</v>
      </c>
      <c r="BA10" s="45">
        <f>IF(A10&lt;&gt;"",IF(_xlfn.XLOOKUP(A10,'1C'!A:A,'1C'!A:A,0,0)&gt;0,1,0),"")</f>
        <v>0</v>
      </c>
      <c r="BB10" s="149">
        <f>IF(C10&lt;&gt;"",IF(_xlfn.XLOOKUP(C10,'1C'!S:S,'1C'!S:S,0,0)&gt;0,0,1),"")</f>
        <v>0</v>
      </c>
      <c r="BC10" s="73">
        <f t="shared" si="7"/>
        <v>1</v>
      </c>
    </row>
    <row r="11" spans="1:56" ht="119.65" customHeight="1">
      <c r="A11" s="43" t="str">
        <f t="shared" si="0"/>
        <v>19H005A-CONDORivory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06-342-17</v>
      </c>
      <c r="C11" s="44" t="s">
        <v>2050</v>
      </c>
      <c r="D11" s="43" t="str">
        <f>VLOOKUP(C11,Names!A:B,2,0)</f>
        <v>Condor Drifter</v>
      </c>
      <c r="E11" s="43" t="str">
        <f>IF(F11&lt;&gt;"",IFERROR(VLOOKUP(F11,Категории!A:B,2,0),""),"Требуется категория")</f>
        <v>Бейсболки</v>
      </c>
      <c r="F11" s="44" t="s">
        <v>2315</v>
      </c>
      <c r="G11" s="63" t="s">
        <v>2715</v>
      </c>
      <c r="H11" s="44" t="s">
        <v>388</v>
      </c>
      <c r="J11" s="57" t="str">
        <f>'1C'!$AF$1</f>
        <v>American Needle</v>
      </c>
      <c r="K11" s="103" t="s">
        <v>2266</v>
      </c>
      <c r="L11" s="58" t="s">
        <v>57</v>
      </c>
      <c r="M11" s="66"/>
      <c r="N11" s="141" t="str">
        <f>Order!B9</f>
        <v>58% Полиэстер - 42% Нейлон</v>
      </c>
      <c r="O11" s="65"/>
      <c r="P11" s="63"/>
      <c r="Q11" s="59" t="s">
        <v>15</v>
      </c>
      <c r="R11" s="58" t="s">
        <v>382</v>
      </c>
      <c r="S11" s="58">
        <v>29</v>
      </c>
      <c r="V11" s="58"/>
      <c r="X11" s="58"/>
      <c r="Z11" s="58"/>
      <c r="AB11" s="58"/>
      <c r="AD11" s="58"/>
      <c r="AQ11" s="57">
        <f t="shared" si="1"/>
        <v>29</v>
      </c>
      <c r="AR11" s="66" t="str">
        <f>Order!A9</f>
        <v>CN</v>
      </c>
      <c r="AS11" s="56" t="str">
        <f ca="1">IF(BA11&gt;0,_xlfn.XLOOKUP(A11,'1C'!$A:$A,'1C'!P:P,"",0,),IF(AR11&lt;&gt;"",VLOOKUP(AR11,INDIRECT(SUBSTITUTE($J11," ","")&amp;"Manufactures"),3,0),"Требуется код страны"))</f>
        <v>American Needle, Inc; 1275 Busch Parkway, Buffalo Grove, IL 60089, USA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2.9000000000000004</v>
      </c>
      <c r="AX11" s="43">
        <f t="shared" si="5"/>
        <v>4.3500000000000005</v>
      </c>
      <c r="AY11" s="155">
        <v>8.9251724137931028</v>
      </c>
      <c r="AZ11" s="156">
        <f t="shared" si="6"/>
        <v>258.83</v>
      </c>
      <c r="BA11" s="45">
        <f>IF(A11&lt;&gt;"",IF(_xlfn.XLOOKUP(A11,'1C'!A:A,'1C'!A:A,0,0)&gt;0,1,0),"")</f>
        <v>0</v>
      </c>
      <c r="BB11" s="149">
        <f>IF(C11&lt;&gt;"",IF(_xlfn.XLOOKUP(C11,'1C'!S:S,'1C'!S:S,0,0)&gt;0,0,1),"")</f>
        <v>0</v>
      </c>
      <c r="BC11" s="73">
        <f t="shared" si="7"/>
        <v>1</v>
      </c>
    </row>
    <row r="12" spans="1:56" ht="120" customHeight="1">
      <c r="A12" s="43" t="str">
        <f t="shared" si="0"/>
        <v>19H005A-FLCOmint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06-343-71</v>
      </c>
      <c r="C12" s="44" t="s">
        <v>2051</v>
      </c>
      <c r="D12" s="43" t="str">
        <f>VLOOKUP(C12,Names!A:B,2,0)</f>
        <v>Florida Citrus Open Drifter</v>
      </c>
      <c r="E12" s="43" t="str">
        <f>IF(F12&lt;&gt;"",IFERROR(VLOOKUP(F12,Категории!A:B,2,0),""),"Требуется категория")</f>
        <v>Бейсболки</v>
      </c>
      <c r="F12" s="44" t="s">
        <v>2315</v>
      </c>
      <c r="G12" s="63" t="s">
        <v>2715</v>
      </c>
      <c r="H12" s="44" t="s">
        <v>388</v>
      </c>
      <c r="J12" s="57" t="str">
        <f>'1C'!$AF$1</f>
        <v>American Needle</v>
      </c>
      <c r="K12" s="103" t="s">
        <v>824</v>
      </c>
      <c r="L12" s="58" t="s">
        <v>717</v>
      </c>
      <c r="M12" s="66"/>
      <c r="N12" s="141" t="str">
        <f>Order!B10</f>
        <v>58% Полиэстер - 42% Нейлон</v>
      </c>
      <c r="O12" s="65"/>
      <c r="P12" s="63"/>
      <c r="Q12" s="59" t="s">
        <v>15</v>
      </c>
      <c r="R12" s="58" t="s">
        <v>382</v>
      </c>
      <c r="S12" s="58">
        <v>29</v>
      </c>
      <c r="V12" s="58"/>
      <c r="X12" s="58"/>
      <c r="Z12" s="58"/>
      <c r="AB12" s="58"/>
      <c r="AD12" s="58"/>
      <c r="AQ12" s="57">
        <f t="shared" si="1"/>
        <v>29</v>
      </c>
      <c r="AR12" s="66" t="str">
        <f>Order!A10</f>
        <v>CN</v>
      </c>
      <c r="AS12" s="56" t="str">
        <f ca="1">IF(BA12&gt;0,_xlfn.XLOOKUP(A12,'1C'!$A:$A,'1C'!P:P,"",0,),IF(AR12&lt;&gt;"",VLOOKUP(AR12,INDIRECT(SUBSTITUTE($J12," ","")&amp;"Manufactures"),3,0),"Требуется код страны"))</f>
        <v>American Needle, Inc; 1275 Busch Parkway, Buffalo Grove, IL 60089, USA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2.9000000000000004</v>
      </c>
      <c r="AX12" s="43">
        <f t="shared" si="5"/>
        <v>4.3500000000000005</v>
      </c>
      <c r="AY12" s="155">
        <v>8.9251724137931028</v>
      </c>
      <c r="AZ12" s="156">
        <f t="shared" si="6"/>
        <v>258.83</v>
      </c>
      <c r="BA12" s="45">
        <f>IF(A12&lt;&gt;"",IF(_xlfn.XLOOKUP(A12,'1C'!A:A,'1C'!A:A,0,0)&gt;0,1,0),"")</f>
        <v>0</v>
      </c>
      <c r="BB12" s="149">
        <f>IF(C12&lt;&gt;"",IF(_xlfn.XLOOKUP(C12,'1C'!S:S,'1C'!S:S,0,0)&gt;0,0,1),"")</f>
        <v>0</v>
      </c>
      <c r="BC12" s="73">
        <f t="shared" si="7"/>
        <v>1</v>
      </c>
    </row>
    <row r="13" spans="1:56" ht="133.69999999999999" customHeight="1">
      <c r="A13" s="43" t="str">
        <f t="shared" si="0"/>
        <v>19H005A-HAWAOorange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06-344-13</v>
      </c>
      <c r="C13" s="44" t="s">
        <v>2052</v>
      </c>
      <c r="D13" s="43" t="str">
        <f>VLOOKUP(C13,Names!A:B,2,0)</f>
        <v>Hawaiian Open Drifter</v>
      </c>
      <c r="E13" s="43" t="str">
        <f>IF(F13&lt;&gt;"",IFERROR(VLOOKUP(F13,Категории!A:B,2,0),""),"Требуется категория")</f>
        <v>Бейсболки</v>
      </c>
      <c r="F13" s="44" t="s">
        <v>2315</v>
      </c>
      <c r="G13" s="63" t="s">
        <v>2715</v>
      </c>
      <c r="H13" s="44" t="s">
        <v>388</v>
      </c>
      <c r="J13" s="57" t="str">
        <f>'1C'!$AF$1</f>
        <v>American Needle</v>
      </c>
      <c r="K13" s="103" t="s">
        <v>1567</v>
      </c>
      <c r="L13" s="58" t="s">
        <v>199</v>
      </c>
      <c r="M13" s="66"/>
      <c r="N13" s="141" t="str">
        <f>Order!B11</f>
        <v>58% Полиэстер - 42% Нейлон</v>
      </c>
      <c r="O13" s="65"/>
      <c r="P13" s="63"/>
      <c r="Q13" s="59" t="s">
        <v>15</v>
      </c>
      <c r="R13" s="58" t="s">
        <v>382</v>
      </c>
      <c r="S13" s="58">
        <v>26</v>
      </c>
      <c r="V13" s="58"/>
      <c r="X13" s="58"/>
      <c r="Z13" s="58"/>
      <c r="AB13" s="58"/>
      <c r="AD13" s="58"/>
      <c r="AQ13" s="57">
        <f t="shared" si="1"/>
        <v>26</v>
      </c>
      <c r="AR13" s="66" t="str">
        <f>Order!A11</f>
        <v>CN</v>
      </c>
      <c r="AS13" s="56" t="str">
        <f ca="1">IF(BA13&gt;0,_xlfn.XLOOKUP(A13,'1C'!$A:$A,'1C'!P:P,"",0,),IF(AR13&lt;&gt;"",VLOOKUP(AR13,INDIRECT(SUBSTITUTE($J13," ","")&amp;"Manufactures"),3,0),"Требуется код страны"))</f>
        <v>American Needle, Inc; 1275 Busch Parkway, Buffalo Grove, IL 60089, USA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2.6</v>
      </c>
      <c r="AX13" s="43">
        <f t="shared" si="5"/>
        <v>3.9000000000000004</v>
      </c>
      <c r="AY13" s="155">
        <v>8.9250000000000007</v>
      </c>
      <c r="AZ13" s="156">
        <f t="shared" si="6"/>
        <v>232.05</v>
      </c>
      <c r="BA13" s="45">
        <f>IF(A13&lt;&gt;"",IF(_xlfn.XLOOKUP(A13,'1C'!A:A,'1C'!A:A,0,0)&gt;0,1,0),"")</f>
        <v>0</v>
      </c>
      <c r="BB13" s="149">
        <f>IF(C13&lt;&gt;"",IF(_xlfn.XLOOKUP(C13,'1C'!S:S,'1C'!S:S,0,0)&gt;0,0,1),"")</f>
        <v>0</v>
      </c>
      <c r="BC13" s="73">
        <f t="shared" si="7"/>
        <v>1</v>
      </c>
    </row>
    <row r="14" spans="1:56" ht="120" customHeight="1">
      <c r="A14" s="43" t="str">
        <f t="shared" si="0"/>
        <v>19H005A-LAOPENbutter yellow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06-345-83</v>
      </c>
      <c r="C14" s="44" t="s">
        <v>2053</v>
      </c>
      <c r="D14" s="43" t="str">
        <f>VLOOKUP(C14,Names!A:B,2,0)</f>
        <v>LA Open Drifter</v>
      </c>
      <c r="E14" s="43" t="str">
        <f>IF(F14&lt;&gt;"",IFERROR(VLOOKUP(F14,Категории!A:B,2,0),""),"Требуется категория")</f>
        <v>Бейсболки</v>
      </c>
      <c r="F14" s="44" t="s">
        <v>2315</v>
      </c>
      <c r="G14" s="63" t="s">
        <v>2715</v>
      </c>
      <c r="H14" s="44" t="s">
        <v>388</v>
      </c>
      <c r="J14" s="57" t="str">
        <f>'1C'!$AF$1</f>
        <v>American Needle</v>
      </c>
      <c r="K14" s="103" t="s">
        <v>2267</v>
      </c>
      <c r="L14" s="58" t="s">
        <v>223</v>
      </c>
      <c r="M14" s="66"/>
      <c r="N14" s="141" t="str">
        <f>Order!B12</f>
        <v>58% Полиэстер - 42% Нейлон</v>
      </c>
      <c r="O14" s="65"/>
      <c r="P14" s="63"/>
      <c r="Q14" s="59" t="s">
        <v>15</v>
      </c>
      <c r="R14" s="58" t="s">
        <v>382</v>
      </c>
      <c r="S14" s="58">
        <v>26</v>
      </c>
      <c r="V14" s="58"/>
      <c r="X14" s="58"/>
      <c r="Z14" s="58"/>
      <c r="AB14" s="58"/>
      <c r="AD14" s="58"/>
      <c r="AQ14" s="57">
        <f t="shared" si="1"/>
        <v>26</v>
      </c>
      <c r="AR14" s="66" t="str">
        <f>Order!A12</f>
        <v>CN</v>
      </c>
      <c r="AS14" s="56" t="str">
        <f ca="1">IF(BA14&gt;0,_xlfn.XLOOKUP(A14,'1C'!$A:$A,'1C'!P:P,"",0,),IF(AR14&lt;&gt;"",VLOOKUP(AR14,INDIRECT(SUBSTITUTE($J14," ","")&amp;"Manufactures"),3,0),"Требуется код страны"))</f>
        <v>American Needle, Inc; 1275 Busch Parkway, Buffalo Grove, IL 60089, USA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2.6</v>
      </c>
      <c r="AX14" s="43">
        <f t="shared" si="5"/>
        <v>3.9000000000000004</v>
      </c>
      <c r="AY14" s="155">
        <v>8.9250000000000007</v>
      </c>
      <c r="AZ14" s="156">
        <f t="shared" si="6"/>
        <v>232.05</v>
      </c>
      <c r="BA14" s="45">
        <f>IF(A14&lt;&gt;"",IF(_xlfn.XLOOKUP(A14,'1C'!A:A,'1C'!A:A,0,0)&gt;0,1,0),"")</f>
        <v>0</v>
      </c>
      <c r="BB14" s="149">
        <f>IF(C14&lt;&gt;"",IF(_xlfn.XLOOKUP(C14,'1C'!S:S,'1C'!S:S,0,0)&gt;0,0,1),"")</f>
        <v>0</v>
      </c>
      <c r="BC14" s="73">
        <f t="shared" si="7"/>
        <v>1</v>
      </c>
    </row>
    <row r="15" spans="1:56" ht="138.6" customHeight="1">
      <c r="A15" s="43" t="str">
        <f t="shared" si="0"/>
        <v>19H005A-SWEETlight blue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06-346-19</v>
      </c>
      <c r="C15" s="44" t="s">
        <v>2054</v>
      </c>
      <c r="D15" s="43" t="str">
        <f>VLOOKUP(C15,Names!A:B,2,0)</f>
        <v>Sweet Spot Drifter</v>
      </c>
      <c r="E15" s="43" t="str">
        <f>IF(F15&lt;&gt;"",IFERROR(VLOOKUP(F15,Категории!A:B,2,0),""),"Требуется категория")</f>
        <v>Бейсболки</v>
      </c>
      <c r="F15" s="44" t="s">
        <v>2315</v>
      </c>
      <c r="G15" s="63" t="s">
        <v>2715</v>
      </c>
      <c r="H15" s="44" t="s">
        <v>388</v>
      </c>
      <c r="J15" s="57" t="str">
        <f>'1C'!$AF$1</f>
        <v>American Needle</v>
      </c>
      <c r="K15" s="103" t="s">
        <v>830</v>
      </c>
      <c r="L15" s="58" t="s">
        <v>91</v>
      </c>
      <c r="M15" s="66"/>
      <c r="N15" s="141" t="str">
        <f>Order!B13</f>
        <v>58% Полиэстер - 42% Нейлон</v>
      </c>
      <c r="O15" s="65"/>
      <c r="P15" s="63"/>
      <c r="Q15" s="59" t="s">
        <v>15</v>
      </c>
      <c r="R15" s="58" t="s">
        <v>382</v>
      </c>
      <c r="S15" s="58">
        <v>29</v>
      </c>
      <c r="V15" s="58"/>
      <c r="X15" s="58"/>
      <c r="Z15" s="58"/>
      <c r="AB15" s="58"/>
      <c r="AD15" s="58"/>
      <c r="AQ15" s="57">
        <f t="shared" si="1"/>
        <v>29</v>
      </c>
      <c r="AR15" s="66" t="str">
        <f>Order!A13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American Needle, Inc; 1275 Busch Parkway, Buffalo Grove, IL 60089, USA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>
        <f t="shared" si="4"/>
        <v>2.9000000000000004</v>
      </c>
      <c r="AX15" s="43">
        <f t="shared" si="5"/>
        <v>4.3500000000000005</v>
      </c>
      <c r="AY15" s="155">
        <v>8.9251724137931028</v>
      </c>
      <c r="AZ15" s="156">
        <f t="shared" si="6"/>
        <v>258.83</v>
      </c>
      <c r="BA15" s="45">
        <f>IF(A15&lt;&gt;"",IF(_xlfn.XLOOKUP(A15,'1C'!A:A,'1C'!A:A,0,0)&gt;0,1,0),"")</f>
        <v>0</v>
      </c>
      <c r="BB15" s="149">
        <f>IF(C15&lt;&gt;"",IF(_xlfn.XLOOKUP(C15,'1C'!S:S,'1C'!S:S,0,0)&gt;0,0,1),"")</f>
        <v>0</v>
      </c>
      <c r="BC15" s="73">
        <f t="shared" si="7"/>
        <v>1</v>
      </c>
    </row>
    <row r="16" spans="1:56" ht="123.4" customHeight="1">
      <c r="A16" s="43" t="str">
        <f t="shared" si="0"/>
        <v>19H006A-DESERTblack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06-347-09</v>
      </c>
      <c r="C16" s="44" t="s">
        <v>2055</v>
      </c>
      <c r="D16" s="43" t="str">
        <f>VLOOKUP(C16,Names!A:B,2,0)</f>
        <v>Desert Classic Lightweight Hepcat</v>
      </c>
      <c r="E16" s="43" t="str">
        <f>IF(F16&lt;&gt;"",IFERROR(VLOOKUP(F16,Категории!A:B,2,0),""),"Требуется категория")</f>
        <v>Бейсболки</v>
      </c>
      <c r="F16" s="44" t="s">
        <v>2315</v>
      </c>
      <c r="G16" s="63" t="s">
        <v>2715</v>
      </c>
      <c r="H16" s="44" t="s">
        <v>388</v>
      </c>
      <c r="J16" s="57" t="str">
        <f>'1C'!$AF$1</f>
        <v>American Needle</v>
      </c>
      <c r="K16" s="103" t="s">
        <v>819</v>
      </c>
      <c r="L16" s="59" t="str">
        <f>IF(K16&lt;&gt;"",IFERROR(VLOOKUP(A16,'1C'!A:T,8,0),IFERROR(VLOOKUP(K16,Colors!D:E,2,0),"")),"")</f>
        <v>черный</v>
      </c>
      <c r="M16" s="145" t="str">
        <f>IF(K16&lt;&gt;"",IFERROR(VLOOKUP(A16,'1C'!A:T,18,0),IFERROR(VLOOKUP(K16,Colors!D:E,2,0),"")),"")</f>
        <v>черный</v>
      </c>
      <c r="N16" s="141" t="str">
        <f>Order!B14</f>
        <v>100% Хлопок</v>
      </c>
      <c r="O16" s="65"/>
      <c r="P16" s="63" t="s">
        <v>43</v>
      </c>
      <c r="Q16" s="59" t="s">
        <v>15</v>
      </c>
      <c r="R16" s="58" t="s">
        <v>382</v>
      </c>
      <c r="S16" s="58">
        <v>12</v>
      </c>
      <c r="V16" s="58"/>
      <c r="X16" s="58"/>
      <c r="Z16" s="58"/>
      <c r="AB16" s="58"/>
      <c r="AD16" s="58"/>
      <c r="AQ16" s="57">
        <f t="shared" si="1"/>
        <v>12</v>
      </c>
      <c r="AR16" s="66" t="str">
        <f>Order!A14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American Needle, Inc; 1275 Busch Parkway, Buffalo Grove, IL 60089, USA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1.2000000000000002</v>
      </c>
      <c r="AX16" s="43">
        <f t="shared" si="5"/>
        <v>1.8000000000000003</v>
      </c>
      <c r="AY16" s="155">
        <v>8.9249999999999989</v>
      </c>
      <c r="AZ16" s="156">
        <f t="shared" si="6"/>
        <v>107.1</v>
      </c>
      <c r="BA16" s="45">
        <f>IF(A16&lt;&gt;"",IF(_xlfn.XLOOKUP(A16,'1C'!A:A,'1C'!A:A,0,0)&gt;0,1,0),"")</f>
        <v>0</v>
      </c>
      <c r="BB16" s="149">
        <f>IF(C16&lt;&gt;"",IF(_xlfn.XLOOKUP(C16,'1C'!S:S,'1C'!S:S,0,0)&gt;0,0,1),"")</f>
        <v>0</v>
      </c>
      <c r="BC16" s="73">
        <f t="shared" si="7"/>
        <v>1</v>
      </c>
    </row>
    <row r="17" spans="1:55" ht="123.4" customHeight="1">
      <c r="A17" s="43" t="str">
        <f t="shared" si="0"/>
        <v>19H006A-HAWAOlemon ice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06-348-20</v>
      </c>
      <c r="C17" s="44" t="s">
        <v>2056</v>
      </c>
      <c r="D17" s="43" t="str">
        <f>VLOOKUP(C17,Names!A:B,2,0)</f>
        <v>Hawaiian Open Lightweight Hepcat</v>
      </c>
      <c r="E17" s="43" t="str">
        <f>IF(F17&lt;&gt;"",IFERROR(VLOOKUP(F17,Категории!A:B,2,0),""),"Требуется категория")</f>
        <v>Бейсболки</v>
      </c>
      <c r="F17" s="44" t="s">
        <v>2315</v>
      </c>
      <c r="G17" s="63" t="s">
        <v>2715</v>
      </c>
      <c r="H17" s="44" t="s">
        <v>388</v>
      </c>
      <c r="J17" s="57" t="str">
        <f>'1C'!$AF$1</f>
        <v>American Needle</v>
      </c>
      <c r="K17" s="103" t="s">
        <v>2264</v>
      </c>
      <c r="L17" s="58" t="s">
        <v>750</v>
      </c>
      <c r="M17" s="66"/>
      <c r="N17" s="141" t="str">
        <f>Order!B15</f>
        <v>100% Хлопок</v>
      </c>
      <c r="O17" s="65"/>
      <c r="P17" s="63" t="s">
        <v>43</v>
      </c>
      <c r="Q17" s="59" t="s">
        <v>15</v>
      </c>
      <c r="R17" s="58" t="s">
        <v>382</v>
      </c>
      <c r="S17" s="58">
        <v>6</v>
      </c>
      <c r="V17" s="58"/>
      <c r="X17" s="58"/>
      <c r="Z17" s="58"/>
      <c r="AB17" s="58"/>
      <c r="AD17" s="58"/>
      <c r="AQ17" s="57">
        <f t="shared" si="1"/>
        <v>6</v>
      </c>
      <c r="AR17" s="66" t="str">
        <f>Order!A15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American Needle, Inc; 1275 Busch Parkway, Buffalo Grove, IL 60089, USA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0.60000000000000009</v>
      </c>
      <c r="AX17" s="43">
        <f t="shared" si="5"/>
        <v>0.90000000000000013</v>
      </c>
      <c r="AY17" s="155">
        <v>8.9249999999999989</v>
      </c>
      <c r="AZ17" s="156">
        <f t="shared" si="6"/>
        <v>53.55</v>
      </c>
      <c r="BA17" s="45">
        <f>IF(A17&lt;&gt;"",IF(_xlfn.XLOOKUP(A17,'1C'!A:A,'1C'!A:A,0,0)&gt;0,1,0),"")</f>
        <v>0</v>
      </c>
      <c r="BB17" s="149">
        <f>IF(C17&lt;&gt;"",IF(_xlfn.XLOOKUP(C17,'1C'!S:S,'1C'!S:S,0,0)&gt;0,0,1),"")</f>
        <v>0</v>
      </c>
      <c r="BC17" s="73">
        <f t="shared" si="7"/>
        <v>1</v>
      </c>
    </row>
    <row r="18" spans="1:55" ht="123.95" customHeight="1">
      <c r="A18" s="43" t="str">
        <f t="shared" si="0"/>
        <v>19H006A-TXOnavy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06-349-16</v>
      </c>
      <c r="C18" s="44" t="s">
        <v>2057</v>
      </c>
      <c r="D18" s="43" t="str">
        <f>VLOOKUP(C18,Names!A:B,2,0)</f>
        <v>Texas Open Lightweight Hepcat</v>
      </c>
      <c r="E18" s="43" t="str">
        <f>IF(F18&lt;&gt;"",IFERROR(VLOOKUP(F18,Категории!A:B,2,0),""),"Требуется категория")</f>
        <v>Бейсболки</v>
      </c>
      <c r="F18" s="44" t="s">
        <v>2315</v>
      </c>
      <c r="G18" s="63" t="s">
        <v>2715</v>
      </c>
      <c r="H18" s="44" t="s">
        <v>388</v>
      </c>
      <c r="J18" s="57" t="str">
        <f>'1C'!$AF$1</f>
        <v>American Needle</v>
      </c>
      <c r="K18" s="103" t="s">
        <v>818</v>
      </c>
      <c r="L18" s="59" t="str">
        <f>IF(K18&lt;&gt;"",IFERROR(VLOOKUP(A18,'1C'!A:T,8,0),IFERROR(VLOOKUP(K18,Colors!D:E,2,0),"")),"")</f>
        <v>темно-синий</v>
      </c>
      <c r="M18" s="145" t="str">
        <f>IF(K18&lt;&gt;"",IFERROR(VLOOKUP(A18,'1C'!A:T,18,0),IFERROR(VLOOKUP(K18,Colors!D:E,2,0),"")),"")</f>
        <v>темно-синий</v>
      </c>
      <c r="N18" s="141" t="str">
        <f>Order!B16</f>
        <v>100% Хлопок</v>
      </c>
      <c r="O18" s="65"/>
      <c r="P18" s="63" t="s">
        <v>43</v>
      </c>
      <c r="Q18" s="59" t="s">
        <v>15</v>
      </c>
      <c r="R18" s="58" t="s">
        <v>382</v>
      </c>
      <c r="S18" s="58">
        <v>12</v>
      </c>
      <c r="V18" s="58"/>
      <c r="X18" s="58"/>
      <c r="Z18" s="58"/>
      <c r="AB18" s="58"/>
      <c r="AD18" s="58"/>
      <c r="AQ18" s="57">
        <f t="shared" si="1"/>
        <v>12</v>
      </c>
      <c r="AR18" s="66" t="str">
        <f>Order!A16</f>
        <v>CN</v>
      </c>
      <c r="AS18" s="56" t="str">
        <f ca="1">IF(BA18&gt;0,_xlfn.XLOOKUP(A18,'1C'!$A:$A,'1C'!P:P,"",0,),IF(AR18&lt;&gt;"",VLOOKUP(AR18,INDIRECT(SUBSTITUTE($J18," ","")&amp;"Manufactures"),3,0),"Требуется код страны"))</f>
        <v>American Needle, Inc; 1275 Busch Parkway, Buffalo Grove, IL 60089, USA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1.2000000000000002</v>
      </c>
      <c r="AX18" s="43">
        <f t="shared" si="5"/>
        <v>1.8000000000000003</v>
      </c>
      <c r="AY18" s="155">
        <v>8.9249999999999989</v>
      </c>
      <c r="AZ18" s="156">
        <f t="shared" si="6"/>
        <v>107.1</v>
      </c>
      <c r="BA18" s="45">
        <f>IF(A18&lt;&gt;"",IF(_xlfn.XLOOKUP(A18,'1C'!A:A,'1C'!A:A,0,0)&gt;0,1,0),"")</f>
        <v>0</v>
      </c>
      <c r="BB18" s="149">
        <f>IF(C18&lt;&gt;"",IF(_xlfn.XLOOKUP(C18,'1C'!S:S,'1C'!S:S,0,0)&gt;0,0,1),"")</f>
        <v>0</v>
      </c>
      <c r="BC18" s="73">
        <f t="shared" si="7"/>
        <v>1</v>
      </c>
    </row>
    <row r="19" spans="1:55" ht="125.45" customHeight="1">
      <c r="A19" s="43" t="str">
        <f t="shared" si="0"/>
        <v>20001A-AUSTINMOmoss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06-131-03</v>
      </c>
      <c r="C19" s="44" t="s">
        <v>2058</v>
      </c>
      <c r="D19" s="43" t="str">
        <f>IF(A19&lt;&gt;"",_xlfn.XLOOKUP(C19,'1C'!S:S,'1C'!T:T,"",0),"")</f>
        <v>Austin Motor Company</v>
      </c>
      <c r="E19" s="43" t="str">
        <f>IF(F19&lt;&gt;"",IFERROR(VLOOKUP(F19,Категории!A:B,2,0),""),"Требуется категория")</f>
        <v>Бейсболки</v>
      </c>
      <c r="F19" s="43" t="str">
        <f>IF(A19&lt;&gt;"",IF(BA19&gt;0,_xlfn.XLOOKUP(A19,'1C'!A:A,'1C'!J:J,"",0),_xlfn.XLOOKUP(C19,'1C'!S:S,'1C'!J:J,"",0)),"")</f>
        <v>Бейсболка</v>
      </c>
      <c r="G19" s="56" t="str">
        <f>IF(C19&lt;&gt;"",IF(BA19&gt;0,_xlfn.XLOOKUP(A19,'1C'!A:A,'1C'!L:L,"",0),_xlfn.XLOOKUP(C19,'1C'!S:S,'1C'!L:L,"",0)),"")</f>
        <v>Cars</v>
      </c>
      <c r="H19" s="43" t="str">
        <f>IF(A19&lt;&gt;"",_xlfn.XLOOKUP(A19,'1C'!A:A,'1C'!M:M,_xlfn.XLOOKUP(C19,'1C'!S:S,'1C'!M:M,"",0),0))</f>
        <v>всесезон</v>
      </c>
      <c r="J19" s="57" t="str">
        <f>'1C'!$AF$1</f>
        <v>American Needle</v>
      </c>
      <c r="K19" s="103" t="s">
        <v>844</v>
      </c>
      <c r="L19" s="59" t="str">
        <f>IF(K19&lt;&gt;"",IFERROR(VLOOKUP(A19,'1C'!A:T,8,0),IFERROR(VLOOKUP(K19,Colors!D:E,2,0),"")),"")</f>
        <v>оливковый</v>
      </c>
      <c r="M19" s="145" t="str">
        <f>IF(K19&lt;&gt;"",IFERROR(VLOOKUP(A19,'1C'!A:T,18,0),IFERROR(VLOOKUP(K19,Colors!D:E,2,0),"")),"")</f>
        <v>оливковый</v>
      </c>
      <c r="N19" s="146" t="str">
        <f>IF(A19&lt;&gt;"",_xlfn.XLOOKUP(A19,'1C'!A:A,'1C'!I:I,_xlfn.XLOOKUP(C19,'1C'!S:S,'1C'!I:I,"",0),0),"")</f>
        <v>100% хлопок</v>
      </c>
      <c r="O19" s="65"/>
      <c r="P19" s="56" t="str">
        <f>IF(A19&lt;&gt;"",_xlfn.XLOOKUP(A19,'1C'!A:A,'1C'!N:N,_xlfn.XLOOKUP(C19,'1C'!S:S,'1C'!N:N,"",0),0),"")</f>
        <v>хлопковые</v>
      </c>
      <c r="Q19" s="59" t="s">
        <v>15</v>
      </c>
      <c r="R19" s="59" t="str">
        <f>IF(A19&lt;&gt;"",_xlfn.XLOOKUP(A19,'1C'!A:A,'1C'!K:K,_xlfn.XLOOKUP(C19,'1C'!S:S,'1C'!K:K,"",0),0),"")</f>
        <v>Унисекс</v>
      </c>
      <c r="S19" s="58">
        <v>46</v>
      </c>
      <c r="V19" s="58"/>
      <c r="X19" s="58"/>
      <c r="Z19" s="58"/>
      <c r="AB19" s="58"/>
      <c r="AD19" s="58"/>
      <c r="AQ19" s="57">
        <f t="shared" si="1"/>
        <v>46</v>
      </c>
      <c r="AR19" s="145" t="str">
        <f>IF(A19&lt;&gt;"",_xlfn.XLOOKUP(_xlfn.XLOOKUP(A19,'1C'!A:A,'1C'!O:O,_xlfn.XLOOKUP(C19,'1C'!S:S,'1C'!O:O,"",0),0),Settings!N:N,Settings!O:O,"",0),"")</f>
        <v>BD</v>
      </c>
      <c r="AS19" s="56" t="str">
        <f ca="1">IF(BA19&gt;0,_xlfn.XLOOKUP(A19,'1C'!$A:$A,'1C'!P:P,"",0,),IF(AR19&lt;&gt;"",VLOOKUP(AR19,INDIRECT(SUBSTITUTE($J19," ","")&amp;"Manufactures"),3,0),"Требуется код страны"))</f>
        <v>American Needle, Inc; 1275 Busch Parkway, Buffalo Grove, IL 60089, USA</v>
      </c>
      <c r="AT19" s="56" t="str">
        <f ca="1">IF(BA19&gt;0,_xlfn.XLOOKUP(A19,'1C'!$A:$A,'1C'!O:O,"",0),IF(AR19&lt;&gt;"",VLOOKUP(AR19,INDIRECT(SUBSTITUTE($J19," ","")&amp;"Manufactures"),2,0),"Требуется код страны"))</f>
        <v>Бангладеш</v>
      </c>
      <c r="AU19" s="76">
        <f t="shared" si="2"/>
        <v>0.1</v>
      </c>
      <c r="AV19" s="43">
        <f t="shared" si="3"/>
        <v>0.15000000000000002</v>
      </c>
      <c r="AW19" s="43">
        <f t="shared" si="4"/>
        <v>4.6000000000000005</v>
      </c>
      <c r="AX19" s="43">
        <f t="shared" si="5"/>
        <v>6.9000000000000012</v>
      </c>
      <c r="AY19" s="155">
        <v>5.7376086956521739</v>
      </c>
      <c r="AZ19" s="156">
        <f t="shared" si="6"/>
        <v>263.93</v>
      </c>
      <c r="BA19" s="45">
        <f>IF(A19&lt;&gt;"",IF(_xlfn.XLOOKUP(A19,'1C'!A:A,'1C'!A:A,0,0)&gt;0,1,0),"")</f>
        <v>1</v>
      </c>
      <c r="BB19" s="149">
        <f>IF(C19&lt;&gt;"",IF(_xlfn.XLOOKUP(C19,'1C'!S:S,'1C'!S:S,0,0)&gt;0,0,1),"")</f>
        <v>0</v>
      </c>
      <c r="BC19" s="73">
        <f t="shared" si="7"/>
        <v>0</v>
      </c>
    </row>
    <row r="20" spans="1:55" ht="119.65" customHeight="1">
      <c r="A20" s="43" t="str">
        <f t="shared" si="0"/>
        <v>20001A-BADCOblack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06-350-09</v>
      </c>
      <c r="C20" s="44" t="s">
        <v>2059</v>
      </c>
      <c r="D20" s="43" t="str">
        <f>VLOOKUP(C20,Names!A:B,2,0)</f>
        <v>Bad Co Ballpark</v>
      </c>
      <c r="E20" s="43" t="str">
        <f>IF(F20&lt;&gt;"",IFERROR(VLOOKUP(F20,Категории!A:B,2,0),""),"Требуется категория")</f>
        <v>Бейсболки</v>
      </c>
      <c r="F20" s="44" t="s">
        <v>2315</v>
      </c>
      <c r="G20" s="63" t="s">
        <v>2313</v>
      </c>
      <c r="H20" s="44" t="s">
        <v>388</v>
      </c>
      <c r="J20" s="57" t="str">
        <f>'1C'!$AF$1</f>
        <v>American Needle</v>
      </c>
      <c r="K20" s="103" t="s">
        <v>819</v>
      </c>
      <c r="L20" s="59" t="str">
        <f>IF(K20&lt;&gt;"",IFERROR(VLOOKUP(A20,'1C'!A:T,8,0),IFERROR(VLOOKUP(K20,Colors!D:E,2,0),"")),"")</f>
        <v>черный</v>
      </c>
      <c r="M20" s="145" t="str">
        <f>IF(K20&lt;&gt;"",IFERROR(VLOOKUP(A20,'1C'!A:T,18,0),IFERROR(VLOOKUP(K20,Colors!D:E,2,0),"")),"")</f>
        <v>черный</v>
      </c>
      <c r="N20" s="141" t="str">
        <f>Order!B18</f>
        <v>100% Хлопок</v>
      </c>
      <c r="O20" s="65"/>
      <c r="P20" s="63" t="s">
        <v>43</v>
      </c>
      <c r="Q20" s="59" t="s">
        <v>15</v>
      </c>
      <c r="R20" s="58" t="s">
        <v>382</v>
      </c>
      <c r="S20" s="58">
        <v>12</v>
      </c>
      <c r="V20" s="58"/>
      <c r="X20" s="58"/>
      <c r="Z20" s="58"/>
      <c r="AB20" s="58"/>
      <c r="AD20" s="58"/>
      <c r="AQ20" s="57">
        <f t="shared" si="1"/>
        <v>12</v>
      </c>
      <c r="AR20" s="66" t="str">
        <f>Order!A18</f>
        <v>BD</v>
      </c>
      <c r="AS20" s="56" t="str">
        <f ca="1">IF(BA20&gt;0,_xlfn.XLOOKUP(A20,'1C'!$A:$A,'1C'!P:P,"",0,),IF(AR20&lt;&gt;"",VLOOKUP(AR20,INDIRECT(SUBSTITUTE($J20," ","")&amp;"Manufactures"),3,0),"Требуется код страны"))</f>
        <v>American Needle, Inc; 1275 Busch Parkway, Buffalo Grove, IL 60089, USA</v>
      </c>
      <c r="AT20" s="56" t="str">
        <f ca="1">IF(BA20&gt;0,_xlfn.XLOOKUP(A20,'1C'!$A:$A,'1C'!O:O,"",0),IF(AR20&lt;&gt;"",VLOOKUP(AR20,INDIRECT(SUBSTITUTE($J20," ","")&amp;"Manufactures"),2,0),"Требуется код страны"))</f>
        <v>Бангладеш</v>
      </c>
      <c r="AU20" s="76">
        <f t="shared" si="2"/>
        <v>0.1</v>
      </c>
      <c r="AV20" s="43">
        <f t="shared" si="3"/>
        <v>0.15000000000000002</v>
      </c>
      <c r="AW20" s="43">
        <f t="shared" si="4"/>
        <v>1.2000000000000002</v>
      </c>
      <c r="AX20" s="43">
        <f t="shared" si="5"/>
        <v>1.8000000000000003</v>
      </c>
      <c r="AY20" s="155">
        <v>7.4375</v>
      </c>
      <c r="AZ20" s="156">
        <f t="shared" si="6"/>
        <v>89.25</v>
      </c>
      <c r="BA20" s="45">
        <f>IF(A20&lt;&gt;"",IF(_xlfn.XLOOKUP(A20,'1C'!A:A,'1C'!A:A,0,0)&gt;0,1,0),"")</f>
        <v>0</v>
      </c>
      <c r="BB20" s="149">
        <f>IF(C20&lt;&gt;"",IF(_xlfn.XLOOKUP(C20,'1C'!S:S,'1C'!S:S,0,0)&gt;0,0,1),"")</f>
        <v>0</v>
      </c>
      <c r="BC20" s="73">
        <f t="shared" si="7"/>
        <v>1</v>
      </c>
    </row>
    <row r="21" spans="1:55" ht="119.65" customHeight="1">
      <c r="A21" s="43" t="str">
        <f t="shared" si="0"/>
        <v>20001A-BOWIblack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06-351-09</v>
      </c>
      <c r="C21" s="44" t="s">
        <v>2060</v>
      </c>
      <c r="D21" s="43" t="str">
        <f>VLOOKUP(C21,Names!A:B,2,0)</f>
        <v>BOWIE Ballpark</v>
      </c>
      <c r="E21" s="43" t="str">
        <f>IF(F21&lt;&gt;"",IFERROR(VLOOKUP(F21,Категории!A:B,2,0),""),"Требуется категория")</f>
        <v>Бейсболки</v>
      </c>
      <c r="F21" s="44" t="s">
        <v>2315</v>
      </c>
      <c r="G21" s="63" t="s">
        <v>2313</v>
      </c>
      <c r="H21" s="44" t="s">
        <v>388</v>
      </c>
      <c r="J21" s="57" t="str">
        <f>'1C'!$AF$1</f>
        <v>American Needle</v>
      </c>
      <c r="K21" s="103" t="s">
        <v>819</v>
      </c>
      <c r="L21" s="59" t="str">
        <f>IF(K21&lt;&gt;"",IFERROR(VLOOKUP(A21,'1C'!A:T,8,0),IFERROR(VLOOKUP(K21,Colors!D:E,2,0),"")),"")</f>
        <v>черный</v>
      </c>
      <c r="M21" s="145" t="str">
        <f>IF(K21&lt;&gt;"",IFERROR(VLOOKUP(A21,'1C'!A:T,18,0),IFERROR(VLOOKUP(K21,Colors!D:E,2,0),"")),"")</f>
        <v>черный</v>
      </c>
      <c r="N21" s="141" t="str">
        <f>Order!B19</f>
        <v>100% Хлопок</v>
      </c>
      <c r="O21" s="65"/>
      <c r="P21" s="63" t="s">
        <v>43</v>
      </c>
      <c r="Q21" s="59" t="s">
        <v>15</v>
      </c>
      <c r="R21" s="58" t="s">
        <v>382</v>
      </c>
      <c r="S21" s="58">
        <v>15</v>
      </c>
      <c r="V21" s="58"/>
      <c r="X21" s="58"/>
      <c r="Z21" s="58"/>
      <c r="AB21" s="58"/>
      <c r="AD21" s="58"/>
      <c r="AQ21" s="57">
        <f t="shared" si="1"/>
        <v>15</v>
      </c>
      <c r="AR21" s="66" t="str">
        <f>Order!A19</f>
        <v>BD</v>
      </c>
      <c r="AS21" s="56" t="str">
        <f ca="1">IF(BA21&gt;0,_xlfn.XLOOKUP(A21,'1C'!$A:$A,'1C'!P:P,"",0,),IF(AR21&lt;&gt;"",VLOOKUP(AR21,INDIRECT(SUBSTITUTE($J21," ","")&amp;"Manufactures"),3,0),"Требуется код страны"))</f>
        <v>American Needle, Inc; 1275 Busch Parkway, Buffalo Grove, IL 60089, USA</v>
      </c>
      <c r="AT21" s="56" t="str">
        <f ca="1">IF(BA21&gt;0,_xlfn.XLOOKUP(A21,'1C'!$A:$A,'1C'!O:O,"",0),IF(AR21&lt;&gt;"",VLOOKUP(AR21,INDIRECT(SUBSTITUTE($J21," ","")&amp;"Manufactures"),2,0),"Требуется код страны"))</f>
        <v>Бангладеш</v>
      </c>
      <c r="AU21" s="76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Y21" s="155">
        <v>7.4373333333333331</v>
      </c>
      <c r="AZ21" s="156">
        <f t="shared" si="6"/>
        <v>111.56</v>
      </c>
      <c r="BA21" s="45">
        <f>IF(A21&lt;&gt;"",IF(_xlfn.XLOOKUP(A21,'1C'!A:A,'1C'!A:A,0,0)&gt;0,1,0),"")</f>
        <v>0</v>
      </c>
      <c r="BB21" s="149">
        <f>IF(C21&lt;&gt;"",IF(_xlfn.XLOOKUP(C21,'1C'!S:S,'1C'!S:S,0,0)&gt;0,0,1),"")</f>
        <v>0</v>
      </c>
      <c r="BC21" s="73">
        <f t="shared" si="7"/>
        <v>1</v>
      </c>
    </row>
    <row r="22" spans="1:55" ht="119.65" customHeight="1">
      <c r="A22" s="43" t="str">
        <f t="shared" si="0"/>
        <v>20001A-MILESclassic blue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06-352-06</v>
      </c>
      <c r="C22" s="44" t="s">
        <v>2061</v>
      </c>
      <c r="D22" s="43" t="str">
        <f>VLOOKUP(C22,Names!A:B,2,0)</f>
        <v>Miles Davis Ballpark</v>
      </c>
      <c r="E22" s="43" t="str">
        <f>IF(F22&lt;&gt;"",IFERROR(VLOOKUP(F22,Категории!A:B,2,0),""),"Требуется категория")</f>
        <v>Бейсболки</v>
      </c>
      <c r="F22" s="44" t="s">
        <v>2315</v>
      </c>
      <c r="G22" s="63" t="s">
        <v>2313</v>
      </c>
      <c r="H22" s="44" t="s">
        <v>388</v>
      </c>
      <c r="J22" s="57" t="str">
        <f>'1C'!$AF$1</f>
        <v>American Needle</v>
      </c>
      <c r="K22" s="103" t="s">
        <v>2268</v>
      </c>
      <c r="L22" s="58" t="s">
        <v>71</v>
      </c>
      <c r="M22" s="66"/>
      <c r="N22" s="141" t="str">
        <f>Order!B20</f>
        <v>100% Хлопок</v>
      </c>
      <c r="O22" s="65"/>
      <c r="P22" s="63" t="s">
        <v>43</v>
      </c>
      <c r="Q22" s="59" t="s">
        <v>15</v>
      </c>
      <c r="R22" s="58" t="s">
        <v>382</v>
      </c>
      <c r="S22" s="58">
        <v>35</v>
      </c>
      <c r="V22" s="58"/>
      <c r="X22" s="58"/>
      <c r="Z22" s="58"/>
      <c r="AB22" s="58"/>
      <c r="AD22" s="58"/>
      <c r="AQ22" s="57">
        <f t="shared" si="1"/>
        <v>35</v>
      </c>
      <c r="AR22" s="66" t="str">
        <f>Order!A20</f>
        <v>BD</v>
      </c>
      <c r="AS22" s="56" t="str">
        <f ca="1">IF(BA22&gt;0,_xlfn.XLOOKUP(A22,'1C'!$A:$A,'1C'!P:P,"",0,),IF(AR22&lt;&gt;"",VLOOKUP(AR22,INDIRECT(SUBSTITUTE($J22," ","")&amp;"Manufactures"),3,0),"Требуется код страны"))</f>
        <v>American Needle, Inc; 1275 Busch Parkway, Buffalo Grove, IL 60089, USA</v>
      </c>
      <c r="AT22" s="56" t="str">
        <f ca="1">IF(BA22&gt;0,_xlfn.XLOOKUP(A22,'1C'!$A:$A,'1C'!O:O,"",0),IF(AR22&lt;&gt;"",VLOOKUP(AR22,INDIRECT(SUBSTITUTE($J22," ","")&amp;"Manufactures"),2,0),"Требуется код страны"))</f>
        <v>Бангладеш</v>
      </c>
      <c r="AU22" s="76">
        <f t="shared" si="2"/>
        <v>0.1</v>
      </c>
      <c r="AV22" s="43">
        <f t="shared" si="3"/>
        <v>0.15000000000000002</v>
      </c>
      <c r="AW22" s="43">
        <f t="shared" si="4"/>
        <v>3.5</v>
      </c>
      <c r="AX22" s="43">
        <f t="shared" si="5"/>
        <v>5.2500000000000009</v>
      </c>
      <c r="AY22" s="155">
        <v>7.4374285714285717</v>
      </c>
      <c r="AZ22" s="156">
        <f t="shared" si="6"/>
        <v>260.31</v>
      </c>
      <c r="BA22" s="45">
        <f>IF(A22&lt;&gt;"",IF(_xlfn.XLOOKUP(A22,'1C'!A:A,'1C'!A:A,0,0)&gt;0,1,0),"")</f>
        <v>0</v>
      </c>
      <c r="BB22" s="149">
        <f>IF(C22&lt;&gt;"",IF(_xlfn.XLOOKUP(C22,'1C'!S:S,'1C'!S:S,0,0)&gt;0,0,1),"")</f>
        <v>0</v>
      </c>
      <c r="BC22" s="73">
        <f t="shared" si="7"/>
        <v>1</v>
      </c>
    </row>
    <row r="23" spans="1:55" ht="133.35" customHeight="1">
      <c r="A23" s="43" t="str">
        <f t="shared" si="0"/>
        <v>20001A-NWILKEScrimson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06-134-18</v>
      </c>
      <c r="C23" s="44" t="s">
        <v>2062</v>
      </c>
      <c r="D23" s="43" t="str">
        <f>IF(A23&lt;&gt;"",_xlfn.XLOOKUP(C23,'1C'!S:S,'1C'!T:T,"",0),"")</f>
        <v>North Wilkesboro Speedway</v>
      </c>
      <c r="E23" s="43" t="str">
        <f>IF(F23&lt;&gt;"",IFERROR(VLOOKUP(F23,Категории!A:B,2,0),""),"Требуется категория")</f>
        <v>Бейсболки</v>
      </c>
      <c r="F23" s="43" t="str">
        <f>IF(A23&lt;&gt;"",IF(BA23&gt;0,_xlfn.XLOOKUP(A23,'1C'!A:A,'1C'!J:J,"",0),_xlfn.XLOOKUP(C23,'1C'!S:S,'1C'!J:J,"",0)),"")</f>
        <v>Бейсболка</v>
      </c>
      <c r="G23" s="56" t="str">
        <f>IF(C23&lt;&gt;"",IF(BA23&gt;0,_xlfn.XLOOKUP(A23,'1C'!A:A,'1C'!L:L,"",0),_xlfn.XLOOKUP(C23,'1C'!S:S,'1C'!L:L,"",0)),"")</f>
        <v>Cars</v>
      </c>
      <c r="H23" s="43" t="str">
        <f>IF(A23&lt;&gt;"",_xlfn.XLOOKUP(A23,'1C'!A:A,'1C'!M:M,_xlfn.XLOOKUP(C23,'1C'!S:S,'1C'!M:M,"",0),0))</f>
        <v>всесезон</v>
      </c>
      <c r="J23" s="57" t="str">
        <f>'1C'!$AF$1</f>
        <v>American Needle</v>
      </c>
      <c r="K23" s="103" t="s">
        <v>1368</v>
      </c>
      <c r="L23" s="59" t="str">
        <f>IF(K23&lt;&gt;"",IFERROR(VLOOKUP(A23,'1C'!A:T,8,0),IFERROR(VLOOKUP(K23,Colors!D:E,2,0),"")),"")</f>
        <v>красный</v>
      </c>
      <c r="M23" s="145" t="str">
        <f>IF(K23&lt;&gt;"",IFERROR(VLOOKUP(A23,'1C'!A:T,18,0),IFERROR(VLOOKUP(K23,Colors!D:E,2,0),"")),"")</f>
        <v>красный</v>
      </c>
      <c r="N23" s="146" t="str">
        <f>IF(A23&lt;&gt;"",_xlfn.XLOOKUP(A23,'1C'!A:A,'1C'!I:I,_xlfn.XLOOKUP(C23,'1C'!S:S,'1C'!I:I,"",0),0),"")</f>
        <v>100% хлопок</v>
      </c>
      <c r="O23" s="65"/>
      <c r="P23" s="56" t="str">
        <f>IF(A23&lt;&gt;"",_xlfn.XLOOKUP(A23,'1C'!A:A,'1C'!N:N,_xlfn.XLOOKUP(C23,'1C'!S:S,'1C'!N:N,"",0),0),"")</f>
        <v>хлопковые</v>
      </c>
      <c r="Q23" s="59" t="s">
        <v>15</v>
      </c>
      <c r="R23" s="59" t="str">
        <f>IF(A23&lt;&gt;"",_xlfn.XLOOKUP(A23,'1C'!A:A,'1C'!K:K,_xlfn.XLOOKUP(C23,'1C'!S:S,'1C'!K:K,"",0),0),"")</f>
        <v>Унисекс</v>
      </c>
      <c r="S23" s="58">
        <v>12</v>
      </c>
      <c r="V23" s="58"/>
      <c r="X23" s="58"/>
      <c r="Z23" s="58"/>
      <c r="AB23" s="58"/>
      <c r="AD23" s="58"/>
      <c r="AQ23" s="57">
        <f t="shared" si="1"/>
        <v>12</v>
      </c>
      <c r="AR23" s="145" t="str">
        <f>IF(A23&lt;&gt;"",_xlfn.XLOOKUP(_xlfn.XLOOKUP(A23,'1C'!A:A,'1C'!O:O,_xlfn.XLOOKUP(C23,'1C'!S:S,'1C'!O:O,"",0),0),Settings!N:N,Settings!O:O,"",0),"")</f>
        <v>BD</v>
      </c>
      <c r="AS23" s="56" t="str">
        <f ca="1">IF(BA23&gt;0,_xlfn.XLOOKUP(A23,'1C'!$A:$A,'1C'!P:P,"",0,),IF(AR23&lt;&gt;"",VLOOKUP(AR23,INDIRECT(SUBSTITUTE($J23," ","")&amp;"Manufactures"),3,0),"Требуется код страны"))</f>
        <v>American Needle, Inc; 1275 Busch Parkway, Buffalo Grove, IL 60089, USA</v>
      </c>
      <c r="AT23" s="56" t="str">
        <f ca="1">IF(BA23&gt;0,_xlfn.XLOOKUP(A23,'1C'!$A:$A,'1C'!O:O,"",0),IF(AR23&lt;&gt;"",VLOOKUP(AR23,INDIRECT(SUBSTITUTE($J23," ","")&amp;"Manufactures"),2,0),"Требуется код страны"))</f>
        <v>Бангладеш</v>
      </c>
      <c r="AU23" s="76">
        <f t="shared" si="2"/>
        <v>0.1</v>
      </c>
      <c r="AV23" s="43">
        <f t="shared" si="3"/>
        <v>0.15000000000000002</v>
      </c>
      <c r="AW23" s="43">
        <f t="shared" si="4"/>
        <v>1.2000000000000002</v>
      </c>
      <c r="AX23" s="43">
        <f t="shared" si="5"/>
        <v>1.8000000000000003</v>
      </c>
      <c r="AY23" s="155">
        <v>5.7374999999999998</v>
      </c>
      <c r="AZ23" s="156">
        <f t="shared" si="6"/>
        <v>68.849999999999994</v>
      </c>
      <c r="BA23" s="45">
        <f>IF(A23&lt;&gt;"",IF(_xlfn.XLOOKUP(A23,'1C'!A:A,'1C'!A:A,0,0)&gt;0,1,0),"")</f>
        <v>1</v>
      </c>
      <c r="BB23" s="149">
        <f>IF(C23&lt;&gt;"",IF(_xlfn.XLOOKUP(C23,'1C'!S:S,'1C'!S:S,0,0)&gt;0,0,1),"")</f>
        <v>0</v>
      </c>
      <c r="BC23" s="73">
        <f t="shared" si="7"/>
        <v>0</v>
      </c>
    </row>
    <row r="24" spans="1:55" ht="119.65" customHeight="1">
      <c r="A24" s="43" t="str">
        <f t="shared" si="0"/>
        <v>20001A-PINKFblack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06-353-09</v>
      </c>
      <c r="C24" s="44" t="s">
        <v>2063</v>
      </c>
      <c r="D24" s="43" t="str">
        <f>VLOOKUP(C24,Names!A:B,2,0)</f>
        <v>Pink Floyd Ballpark</v>
      </c>
      <c r="E24" s="43" t="str">
        <f>IF(F24&lt;&gt;"",IFERROR(VLOOKUP(F24,Категории!A:B,2,0),""),"Требуется категория")</f>
        <v>Бейсболки</v>
      </c>
      <c r="F24" s="44" t="s">
        <v>2315</v>
      </c>
      <c r="G24" s="63" t="s">
        <v>2313</v>
      </c>
      <c r="H24" s="44" t="s">
        <v>388</v>
      </c>
      <c r="J24" s="57" t="str">
        <f>'1C'!$AF$1</f>
        <v>American Needle</v>
      </c>
      <c r="K24" s="103" t="s">
        <v>819</v>
      </c>
      <c r="L24" s="59" t="str">
        <f>IF(K24&lt;&gt;"",IFERROR(VLOOKUP(A24,'1C'!A:T,8,0),IFERROR(VLOOKUP(K24,Colors!D:E,2,0),"")),"")</f>
        <v>черный</v>
      </c>
      <c r="M24" s="145" t="str">
        <f>IF(K24&lt;&gt;"",IFERROR(VLOOKUP(A24,'1C'!A:T,18,0),IFERROR(VLOOKUP(K24,Colors!D:E,2,0),"")),"")</f>
        <v>черный</v>
      </c>
      <c r="N24" s="141" t="str">
        <f>Order!B22</f>
        <v>100% Хлопок</v>
      </c>
      <c r="O24" s="65"/>
      <c r="P24" s="63" t="s">
        <v>43</v>
      </c>
      <c r="Q24" s="59" t="s">
        <v>15</v>
      </c>
      <c r="R24" s="58" t="s">
        <v>382</v>
      </c>
      <c r="S24" s="58">
        <v>35</v>
      </c>
      <c r="V24" s="58"/>
      <c r="X24" s="58"/>
      <c r="Z24" s="58"/>
      <c r="AB24" s="58"/>
      <c r="AD24" s="58"/>
      <c r="AQ24" s="57">
        <f t="shared" si="1"/>
        <v>35</v>
      </c>
      <c r="AR24" s="66" t="str">
        <f>Order!A22</f>
        <v>BD</v>
      </c>
      <c r="AS24" s="56" t="str">
        <f ca="1">IF(BA24&gt;0,_xlfn.XLOOKUP(A24,'1C'!$A:$A,'1C'!P:P,"",0,),IF(AR24&lt;&gt;"",VLOOKUP(AR24,INDIRECT(SUBSTITUTE($J24," ","")&amp;"Manufactures"),3,0),"Требуется код страны"))</f>
        <v>American Needle, Inc; 1275 Busch Parkway, Buffalo Grove, IL 60089, USA</v>
      </c>
      <c r="AT24" s="56" t="str">
        <f ca="1">IF(BA24&gt;0,_xlfn.XLOOKUP(A24,'1C'!$A:$A,'1C'!O:O,"",0),IF(AR24&lt;&gt;"",VLOOKUP(AR24,INDIRECT(SUBSTITUTE($J24," ","")&amp;"Manufactures"),2,0),"Требуется код страны"))</f>
        <v>Бангладеш</v>
      </c>
      <c r="AU24" s="76">
        <f t="shared" si="2"/>
        <v>0.1</v>
      </c>
      <c r="AV24" s="43">
        <f t="shared" si="3"/>
        <v>0.15000000000000002</v>
      </c>
      <c r="AW24" s="43">
        <f t="shared" si="4"/>
        <v>3.5</v>
      </c>
      <c r="AX24" s="43">
        <f t="shared" si="5"/>
        <v>5.2500000000000009</v>
      </c>
      <c r="AY24" s="155">
        <v>7.4374285714285717</v>
      </c>
      <c r="AZ24" s="156">
        <f t="shared" si="6"/>
        <v>260.31</v>
      </c>
      <c r="BA24" s="45">
        <f>IF(A24&lt;&gt;"",IF(_xlfn.XLOOKUP(A24,'1C'!A:A,'1C'!A:A,0,0)&gt;0,1,0),"")</f>
        <v>0</v>
      </c>
      <c r="BB24" s="149">
        <f>IF(C24&lt;&gt;"",IF(_xlfn.XLOOKUP(C24,'1C'!S:S,'1C'!S:S,0,0)&gt;0,0,1),"")</f>
        <v>0</v>
      </c>
      <c r="BC24" s="73">
        <f t="shared" si="7"/>
        <v>1</v>
      </c>
    </row>
    <row r="25" spans="1:55" ht="129.4" customHeight="1">
      <c r="A25" s="43" t="str">
        <f t="shared" si="0"/>
        <v>20001A-POLICEwhite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06-354-17</v>
      </c>
      <c r="C25" s="44" t="s">
        <v>2064</v>
      </c>
      <c r="D25" s="43" t="str">
        <f>VLOOKUP(C25,Names!A:B,2,0)</f>
        <v>The Police Ballpark</v>
      </c>
      <c r="E25" s="43" t="str">
        <f>IF(F25&lt;&gt;"",IFERROR(VLOOKUP(F25,Категории!A:B,2,0),""),"Требуется категория")</f>
        <v>Бейсболки</v>
      </c>
      <c r="F25" s="44" t="s">
        <v>2315</v>
      </c>
      <c r="G25" s="63" t="s">
        <v>2313</v>
      </c>
      <c r="H25" s="44" t="s">
        <v>388</v>
      </c>
      <c r="J25" s="57" t="str">
        <f>'1C'!$AF$1</f>
        <v>American Needle</v>
      </c>
      <c r="K25" s="103" t="s">
        <v>820</v>
      </c>
      <c r="L25" s="59" t="str">
        <f>IF(K25&lt;&gt;"",IFERROR(VLOOKUP(A25,'1C'!A:T,8,0),IFERROR(VLOOKUP(K25,Colors!D:E,2,0),"")),"")</f>
        <v>белый</v>
      </c>
      <c r="M25" s="145" t="str">
        <f>IF(K25&lt;&gt;"",IFERROR(VLOOKUP(A25,'1C'!A:T,18,0),IFERROR(VLOOKUP(K25,Colors!D:E,2,0),"")),"")</f>
        <v>белый</v>
      </c>
      <c r="N25" s="141" t="str">
        <f>Order!B23</f>
        <v>100% Хлопок</v>
      </c>
      <c r="O25" s="65"/>
      <c r="P25" s="63" t="s">
        <v>43</v>
      </c>
      <c r="Q25" s="59" t="s">
        <v>15</v>
      </c>
      <c r="R25" s="58" t="s">
        <v>382</v>
      </c>
      <c r="S25" s="58">
        <v>12</v>
      </c>
      <c r="V25" s="58"/>
      <c r="X25" s="58"/>
      <c r="Z25" s="58"/>
      <c r="AB25" s="58"/>
      <c r="AD25" s="58"/>
      <c r="AQ25" s="57">
        <f t="shared" si="1"/>
        <v>12</v>
      </c>
      <c r="AR25" s="66" t="str">
        <f>Order!A23</f>
        <v>BD</v>
      </c>
      <c r="AS25" s="56" t="str">
        <f ca="1">IF(BA25&gt;0,_xlfn.XLOOKUP(A25,'1C'!$A:$A,'1C'!P:P,"",0,),IF(AR25&lt;&gt;"",VLOOKUP(AR25,INDIRECT(SUBSTITUTE($J25," ","")&amp;"Manufactures"),3,0),"Требуется код страны"))</f>
        <v>American Needle, Inc; 1275 Busch Parkway, Buffalo Grove, IL 60089, USA</v>
      </c>
      <c r="AT25" s="56" t="str">
        <f ca="1">IF(BA25&gt;0,_xlfn.XLOOKUP(A25,'1C'!$A:$A,'1C'!O:O,"",0),IF(AR25&lt;&gt;"",VLOOKUP(AR25,INDIRECT(SUBSTITUTE($J25," ","")&amp;"Manufactures"),2,0),"Требуется код страны"))</f>
        <v>Бангладеш</v>
      </c>
      <c r="AU25" s="76">
        <f t="shared" si="2"/>
        <v>0.1</v>
      </c>
      <c r="AV25" s="43">
        <f t="shared" si="3"/>
        <v>0.15000000000000002</v>
      </c>
      <c r="AW25" s="43">
        <f t="shared" si="4"/>
        <v>1.2000000000000002</v>
      </c>
      <c r="AX25" s="43">
        <f t="shared" si="5"/>
        <v>1.8000000000000003</v>
      </c>
      <c r="AY25" s="155">
        <v>7.4375</v>
      </c>
      <c r="AZ25" s="156">
        <f t="shared" si="6"/>
        <v>89.25</v>
      </c>
      <c r="BA25" s="45">
        <f>IF(A25&lt;&gt;"",IF(_xlfn.XLOOKUP(A25,'1C'!A:A,'1C'!A:A,0,0)&gt;0,1,0),"")</f>
        <v>0</v>
      </c>
      <c r="BB25" s="149">
        <f>IF(C25&lt;&gt;"",IF(_xlfn.XLOOKUP(C25,'1C'!S:S,'1C'!S:S,0,0)&gt;0,0,1),"")</f>
        <v>0</v>
      </c>
      <c r="BC25" s="73">
        <f t="shared" si="7"/>
        <v>1</v>
      </c>
    </row>
    <row r="26" spans="1:55" ht="125.85" customHeight="1">
      <c r="A26" s="43" t="str">
        <f t="shared" si="0"/>
        <v>20001A-SAUGUSseafoam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06-135-19</v>
      </c>
      <c r="C26" s="44" t="s">
        <v>2065</v>
      </c>
      <c r="D26" s="43" t="str">
        <f>IF(A26&lt;&gt;"",_xlfn.XLOOKUP(C26,'1C'!S:S,'1C'!T:T,"",0),"")</f>
        <v>Saugus Speedway</v>
      </c>
      <c r="E26" s="43" t="str">
        <f>IF(F26&lt;&gt;"",IFERROR(VLOOKUP(F26,Категории!A:B,2,0),""),"Требуется категория")</f>
        <v>Бейсболки</v>
      </c>
      <c r="F26" s="43" t="str">
        <f>IF(A26&lt;&gt;"",IF(BA26&gt;0,_xlfn.XLOOKUP(A26,'1C'!A:A,'1C'!J:J,"",0),_xlfn.XLOOKUP(C26,'1C'!S:S,'1C'!J:J,"",0)),"")</f>
        <v>Бейсболка</v>
      </c>
      <c r="G26" s="56" t="str">
        <f>IF(C26&lt;&gt;"",IF(BA26&gt;0,_xlfn.XLOOKUP(A26,'1C'!A:A,'1C'!L:L,"",0),_xlfn.XLOOKUP(C26,'1C'!S:S,'1C'!L:L,"",0)),"")</f>
        <v>Cars</v>
      </c>
      <c r="H26" s="43" t="str">
        <f>IF(A26&lt;&gt;"",_xlfn.XLOOKUP(A26,'1C'!A:A,'1C'!M:M,_xlfn.XLOOKUP(C26,'1C'!S:S,'1C'!M:M,"",0),0))</f>
        <v>всесезон</v>
      </c>
      <c r="J26" s="57" t="str">
        <f>'1C'!$AF$1</f>
        <v>American Needle</v>
      </c>
      <c r="K26" s="103" t="s">
        <v>1372</v>
      </c>
      <c r="L26" s="59" t="str">
        <f>IF(K26&lt;&gt;"",IFERROR(VLOOKUP(A26,'1C'!A:T,8,0),IFERROR(VLOOKUP(K26,Colors!D:E,2,0),"")),"")</f>
        <v>голубой</v>
      </c>
      <c r="M26" s="145" t="str">
        <f>IF(K26&lt;&gt;"",IFERROR(VLOOKUP(A26,'1C'!A:T,18,0),IFERROR(VLOOKUP(K26,Colors!D:E,2,0),"")),"")</f>
        <v>голубой</v>
      </c>
      <c r="N26" s="146" t="str">
        <f>IF(A26&lt;&gt;"",_xlfn.XLOOKUP(A26,'1C'!A:A,'1C'!I:I,_xlfn.XLOOKUP(C26,'1C'!S:S,'1C'!I:I,"",0),0),"")</f>
        <v>100% хлопок</v>
      </c>
      <c r="O26" s="65"/>
      <c r="P26" s="56" t="str">
        <f>IF(A26&lt;&gt;"",_xlfn.XLOOKUP(A26,'1C'!A:A,'1C'!N:N,_xlfn.XLOOKUP(C26,'1C'!S:S,'1C'!N:N,"",0),0),"")</f>
        <v>хлопковые</v>
      </c>
      <c r="Q26" s="59" t="s">
        <v>15</v>
      </c>
      <c r="R26" s="59" t="str">
        <f>IF(A26&lt;&gt;"",_xlfn.XLOOKUP(A26,'1C'!A:A,'1C'!K:K,_xlfn.XLOOKUP(C26,'1C'!S:S,'1C'!K:K,"",0),0),"")</f>
        <v>Унисекс</v>
      </c>
      <c r="S26" s="58">
        <v>12</v>
      </c>
      <c r="V26" s="58"/>
      <c r="X26" s="58"/>
      <c r="Z26" s="58"/>
      <c r="AB26" s="58"/>
      <c r="AD26" s="58"/>
      <c r="AQ26" s="57">
        <f t="shared" si="1"/>
        <v>12</v>
      </c>
      <c r="AR26" s="145" t="str">
        <f>IF(A26&lt;&gt;"",_xlfn.XLOOKUP(_xlfn.XLOOKUP(A26,'1C'!A:A,'1C'!O:O,_xlfn.XLOOKUP(C26,'1C'!S:S,'1C'!O:O,"",0),0),Settings!N:N,Settings!O:O,"",0),"")</f>
        <v>BD</v>
      </c>
      <c r="AS26" s="56" t="str">
        <f ca="1">IF(BA26&gt;0,_xlfn.XLOOKUP(A26,'1C'!$A:$A,'1C'!P:P,"",0,),IF(AR26&lt;&gt;"",VLOOKUP(AR26,INDIRECT(SUBSTITUTE($J26," ","")&amp;"Manufactures"),3,0),"Требуется код страны"))</f>
        <v>American Needle, Inc; 1275 Busch Parkway, Buffalo Grove, IL 60089, USA</v>
      </c>
      <c r="AT26" s="56" t="str">
        <f ca="1">IF(BA26&gt;0,_xlfn.XLOOKUP(A26,'1C'!$A:$A,'1C'!O:O,"",0),IF(AR26&lt;&gt;"",VLOOKUP(AR26,INDIRECT(SUBSTITUTE($J26," ","")&amp;"Manufactures"),2,0),"Требуется код страны"))</f>
        <v>Бангладеш</v>
      </c>
      <c r="AU26" s="76">
        <f t="shared" si="2"/>
        <v>0.1</v>
      </c>
      <c r="AV26" s="43">
        <f t="shared" si="3"/>
        <v>0.15000000000000002</v>
      </c>
      <c r="AW26" s="43">
        <f t="shared" si="4"/>
        <v>1.2000000000000002</v>
      </c>
      <c r="AX26" s="43">
        <f t="shared" si="5"/>
        <v>1.8000000000000003</v>
      </c>
      <c r="AY26" s="155">
        <v>5.7374999999999998</v>
      </c>
      <c r="AZ26" s="156">
        <f t="shared" si="6"/>
        <v>68.849999999999994</v>
      </c>
      <c r="BA26" s="45">
        <f>IF(A26&lt;&gt;"",IF(_xlfn.XLOOKUP(A26,'1C'!A:A,'1C'!A:A,0,0)&gt;0,1,0),"")</f>
        <v>1</v>
      </c>
      <c r="BB26" s="149">
        <f>IF(C26&lt;&gt;"",IF(_xlfn.XLOOKUP(C26,'1C'!S:S,'1C'!S:S,0,0)&gt;0,0,1),"")</f>
        <v>0</v>
      </c>
      <c r="BC26" s="73">
        <f t="shared" si="7"/>
        <v>0</v>
      </c>
    </row>
    <row r="27" spans="1:55" ht="133.69999999999999" customHeight="1">
      <c r="A27" s="43" t="str">
        <f t="shared" si="0"/>
        <v>20001A-SBEARespresso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06-355-14</v>
      </c>
      <c r="C27" s="44" t="s">
        <v>2066</v>
      </c>
      <c r="D27" s="43" t="str">
        <f>VLOOKUP(C27,Names!A:B,2,0)</f>
        <v>Smokey Bear Washed Slouch</v>
      </c>
      <c r="E27" s="43" t="str">
        <f>IF(F27&lt;&gt;"",IFERROR(VLOOKUP(F27,Категории!A:B,2,0),""),"Требуется категория")</f>
        <v>Бейсболки</v>
      </c>
      <c r="F27" s="44" t="s">
        <v>2315</v>
      </c>
      <c r="G27" s="63" t="s">
        <v>2716</v>
      </c>
      <c r="H27" s="44" t="s">
        <v>388</v>
      </c>
      <c r="J27" s="57" t="str">
        <f>'1C'!$AF$1</f>
        <v>American Needle</v>
      </c>
      <c r="K27" s="103" t="s">
        <v>2269</v>
      </c>
      <c r="L27" s="58" t="s">
        <v>86</v>
      </c>
      <c r="M27" s="66"/>
      <c r="N27" s="141" t="str">
        <f>Order!B25</f>
        <v>100% Хлопок</v>
      </c>
      <c r="O27" s="65"/>
      <c r="P27" s="63" t="s">
        <v>43</v>
      </c>
      <c r="Q27" s="59" t="s">
        <v>15</v>
      </c>
      <c r="R27" s="58" t="s">
        <v>382</v>
      </c>
      <c r="S27" s="58">
        <v>6</v>
      </c>
      <c r="V27" s="58"/>
      <c r="X27" s="58"/>
      <c r="Z27" s="58"/>
      <c r="AB27" s="58"/>
      <c r="AD27" s="58"/>
      <c r="AQ27" s="57">
        <f t="shared" si="1"/>
        <v>6</v>
      </c>
      <c r="AR27" s="66" t="str">
        <f>Order!A25</f>
        <v>BD</v>
      </c>
      <c r="AS27" s="56" t="str">
        <f ca="1">IF(BA27&gt;0,_xlfn.XLOOKUP(A27,'1C'!$A:$A,'1C'!P:P,"",0,),IF(AR27&lt;&gt;"",VLOOKUP(AR27,INDIRECT(SUBSTITUTE($J27," ","")&amp;"Manufactures"),3,0),"Требуется код страны"))</f>
        <v>American Needle, Inc; 1275 Busch Parkway, Buffalo Grove, IL 60089, USA</v>
      </c>
      <c r="AT27" s="56" t="str">
        <f ca="1">IF(BA27&gt;0,_xlfn.XLOOKUP(A27,'1C'!$A:$A,'1C'!O:O,"",0),IF(AR27&lt;&gt;"",VLOOKUP(AR27,INDIRECT(SUBSTITUTE($J27," ","")&amp;"Manufactures"),2,0),"Требуется код страны"))</f>
        <v>Бангладеш</v>
      </c>
      <c r="AU27" s="76">
        <f t="shared" si="2"/>
        <v>0.1</v>
      </c>
      <c r="AV27" s="43">
        <f t="shared" si="3"/>
        <v>0.15000000000000002</v>
      </c>
      <c r="AW27" s="43">
        <f t="shared" si="4"/>
        <v>0.60000000000000009</v>
      </c>
      <c r="AX27" s="43">
        <f t="shared" si="5"/>
        <v>0.90000000000000013</v>
      </c>
      <c r="AY27" s="155">
        <v>7.8633333333333333</v>
      </c>
      <c r="AZ27" s="156">
        <f t="shared" si="6"/>
        <v>47.18</v>
      </c>
      <c r="BA27" s="45">
        <f>IF(A27&lt;&gt;"",IF(_xlfn.XLOOKUP(A27,'1C'!A:A,'1C'!A:A,0,0)&gt;0,1,0),"")</f>
        <v>0</v>
      </c>
      <c r="BB27" s="149">
        <f>IF(C27&lt;&gt;"",IF(_xlfn.XLOOKUP(C27,'1C'!S:S,'1C'!S:S,0,0)&gt;0,0,1),"")</f>
        <v>0</v>
      </c>
      <c r="BC27" s="73">
        <f t="shared" si="7"/>
        <v>1</v>
      </c>
    </row>
    <row r="28" spans="1:55" ht="119.65" customHeight="1">
      <c r="A28" s="43" t="str">
        <f t="shared" si="0"/>
        <v>20001A-WOODSTKblack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06-356-09</v>
      </c>
      <c r="C28" s="44" t="s">
        <v>2067</v>
      </c>
      <c r="D28" s="43" t="str">
        <f>VLOOKUP(C28,Names!A:B,2,0)</f>
        <v>Woodstock Ballpark</v>
      </c>
      <c r="E28" s="43" t="str">
        <f>IF(F28&lt;&gt;"",IFERROR(VLOOKUP(F28,Категории!A:B,2,0),""),"Требуется категория")</f>
        <v>Бейсболки</v>
      </c>
      <c r="F28" s="44" t="s">
        <v>2315</v>
      </c>
      <c r="G28" s="63" t="s">
        <v>2313</v>
      </c>
      <c r="H28" s="44" t="s">
        <v>388</v>
      </c>
      <c r="J28" s="57" t="str">
        <f>'1C'!$AF$1</f>
        <v>American Needle</v>
      </c>
      <c r="K28" s="103" t="s">
        <v>819</v>
      </c>
      <c r="L28" s="59" t="str">
        <f>IF(K28&lt;&gt;"",IFERROR(VLOOKUP(A28,'1C'!A:T,8,0),IFERROR(VLOOKUP(K28,Colors!D:E,2,0),"")),"")</f>
        <v>черный</v>
      </c>
      <c r="M28" s="145" t="str">
        <f>IF(K28&lt;&gt;"",IFERROR(VLOOKUP(A28,'1C'!A:T,18,0),IFERROR(VLOOKUP(K28,Colors!D:E,2,0),"")),"")</f>
        <v>черный</v>
      </c>
      <c r="N28" s="141" t="str">
        <f>Order!B26</f>
        <v>100% Хлопок</v>
      </c>
      <c r="O28" s="65"/>
      <c r="P28" s="63" t="s">
        <v>43</v>
      </c>
      <c r="Q28" s="59" t="s">
        <v>15</v>
      </c>
      <c r="R28" s="58" t="s">
        <v>382</v>
      </c>
      <c r="S28" s="58">
        <v>15</v>
      </c>
      <c r="V28" s="58"/>
      <c r="X28" s="58"/>
      <c r="Z28" s="58"/>
      <c r="AB28" s="58"/>
      <c r="AD28" s="58"/>
      <c r="AQ28" s="57">
        <f t="shared" si="1"/>
        <v>15</v>
      </c>
      <c r="AR28" s="66" t="str">
        <f>Order!A26</f>
        <v>BD</v>
      </c>
      <c r="AS28" s="56" t="str">
        <f ca="1">IF(BA28&gt;0,_xlfn.XLOOKUP(A28,'1C'!$A:$A,'1C'!P:P,"",0,),IF(AR28&lt;&gt;"",VLOOKUP(AR28,INDIRECT(SUBSTITUTE($J28," ","")&amp;"Manufactures"),3,0),"Требуется код страны"))</f>
        <v>American Needle, Inc; 1275 Busch Parkway, Buffalo Grove, IL 60089, USA</v>
      </c>
      <c r="AT28" s="56" t="str">
        <f ca="1">IF(BA28&gt;0,_xlfn.XLOOKUP(A28,'1C'!$A:$A,'1C'!O:O,"",0),IF(AR28&lt;&gt;"",VLOOKUP(AR28,INDIRECT(SUBSTITUTE($J28," ","")&amp;"Manufactures"),2,0),"Требуется код страны"))</f>
        <v>Бангладеш</v>
      </c>
      <c r="AU28" s="76">
        <f t="shared" si="2"/>
        <v>0.1</v>
      </c>
      <c r="AV28" s="43">
        <f t="shared" si="3"/>
        <v>0.15000000000000002</v>
      </c>
      <c r="AW28" s="43">
        <f t="shared" si="4"/>
        <v>1.5</v>
      </c>
      <c r="AX28" s="43">
        <f t="shared" si="5"/>
        <v>2.2500000000000004</v>
      </c>
      <c r="AY28" s="155">
        <v>7.4373333333333331</v>
      </c>
      <c r="AZ28" s="156">
        <f t="shared" si="6"/>
        <v>111.56</v>
      </c>
      <c r="BA28" s="45">
        <f>IF(A28&lt;&gt;"",IF(_xlfn.XLOOKUP(A28,'1C'!A:A,'1C'!A:A,0,0)&gt;0,1,0),"")</f>
        <v>0</v>
      </c>
      <c r="BB28" s="149">
        <f>IF(C28&lt;&gt;"",IF(_xlfn.XLOOKUP(C28,'1C'!S:S,'1C'!S:S,0,0)&gt;0,0,1),"")</f>
        <v>0</v>
      </c>
      <c r="BC28" s="73">
        <f t="shared" si="7"/>
        <v>1</v>
      </c>
    </row>
    <row r="29" spans="1:55" ht="124.7" customHeight="1">
      <c r="A29" s="43" t="str">
        <f t="shared" si="0"/>
        <v>20001B-ACDCblack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06-357-09</v>
      </c>
      <c r="C29" s="44" t="s">
        <v>2068</v>
      </c>
      <c r="D29" s="43" t="str">
        <f>VLOOKUP(C29,Names!A:B,2,0)</f>
        <v>ACDC Ballpark</v>
      </c>
      <c r="E29" s="43" t="str">
        <f>IF(F29&lt;&gt;"",IFERROR(VLOOKUP(F29,Категории!A:B,2,0),""),"Требуется категория")</f>
        <v>Бейсболки</v>
      </c>
      <c r="F29" s="44" t="s">
        <v>2315</v>
      </c>
      <c r="G29" s="63" t="s">
        <v>2313</v>
      </c>
      <c r="H29" s="44" t="s">
        <v>388</v>
      </c>
      <c r="J29" s="57" t="str">
        <f>'1C'!$AF$1</f>
        <v>American Needle</v>
      </c>
      <c r="K29" s="103" t="s">
        <v>819</v>
      </c>
      <c r="L29" s="59" t="str">
        <f>IF(K29&lt;&gt;"",IFERROR(VLOOKUP(A29,'1C'!A:T,8,0),IFERROR(VLOOKUP(K29,Colors!D:E,2,0),"")),"")</f>
        <v>черный</v>
      </c>
      <c r="M29" s="145" t="str">
        <f>IF(K29&lt;&gt;"",IFERROR(VLOOKUP(A29,'1C'!A:T,18,0),IFERROR(VLOOKUP(K29,Colors!D:E,2,0),"")),"")</f>
        <v>черный</v>
      </c>
      <c r="N29" s="141" t="str">
        <f>Order!B27</f>
        <v>100% Хлопок</v>
      </c>
      <c r="O29" s="65"/>
      <c r="P29" s="63" t="s">
        <v>43</v>
      </c>
      <c r="Q29" s="59" t="s">
        <v>15</v>
      </c>
      <c r="R29" s="58" t="s">
        <v>382</v>
      </c>
      <c r="S29" s="58">
        <v>44</v>
      </c>
      <c r="V29" s="58"/>
      <c r="X29" s="58"/>
      <c r="Z29" s="58"/>
      <c r="AB29" s="58"/>
      <c r="AD29" s="58"/>
      <c r="AQ29" s="57">
        <f t="shared" si="1"/>
        <v>44</v>
      </c>
      <c r="AR29" s="66" t="str">
        <f>Order!A27</f>
        <v>BD</v>
      </c>
      <c r="AS29" s="56" t="str">
        <f ca="1">IF(BA29&gt;0,_xlfn.XLOOKUP(A29,'1C'!$A:$A,'1C'!P:P,"",0,),IF(AR29&lt;&gt;"",VLOOKUP(AR29,INDIRECT(SUBSTITUTE($J29," ","")&amp;"Manufactures"),3,0),"Требуется код страны"))</f>
        <v>American Needle, Inc; 1275 Busch Parkway, Buffalo Grove, IL 60089, USA</v>
      </c>
      <c r="AT29" s="56" t="str">
        <f ca="1">IF(BA29&gt;0,_xlfn.XLOOKUP(A29,'1C'!$A:$A,'1C'!O:O,"",0),IF(AR29&lt;&gt;"",VLOOKUP(AR29,INDIRECT(SUBSTITUTE($J29," ","")&amp;"Manufactures"),2,0),"Требуется код страны"))</f>
        <v>Бангладеш</v>
      </c>
      <c r="AU29" s="76">
        <f t="shared" si="2"/>
        <v>0.1</v>
      </c>
      <c r="AV29" s="43">
        <f t="shared" si="3"/>
        <v>0.15000000000000002</v>
      </c>
      <c r="AW29" s="43">
        <f t="shared" si="4"/>
        <v>4.4000000000000004</v>
      </c>
      <c r="AX29" s="43">
        <f t="shared" si="5"/>
        <v>6.6000000000000014</v>
      </c>
      <c r="AY29" s="155">
        <v>7.4375</v>
      </c>
      <c r="AZ29" s="156">
        <f t="shared" si="6"/>
        <v>327.25</v>
      </c>
      <c r="BA29" s="45">
        <f>IF(A29&lt;&gt;"",IF(_xlfn.XLOOKUP(A29,'1C'!A:A,'1C'!A:A,0,0)&gt;0,1,0),"")</f>
        <v>0</v>
      </c>
      <c r="BB29" s="149">
        <f>IF(C29&lt;&gt;"",IF(_xlfn.XLOOKUP(C29,'1C'!S:S,'1C'!S:S,0,0)&gt;0,0,1),"")</f>
        <v>0</v>
      </c>
      <c r="BC29" s="73">
        <f t="shared" si="7"/>
        <v>1</v>
      </c>
    </row>
    <row r="30" spans="1:55" ht="123.95" customHeight="1">
      <c r="A30" s="43" t="str">
        <f t="shared" si="0"/>
        <v>20001B-BOWIwhite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06-358-17</v>
      </c>
      <c r="C30" s="44" t="s">
        <v>2069</v>
      </c>
      <c r="D30" s="43" t="str">
        <f>VLOOKUP(C30,Names!A:B,2,0)</f>
        <v>BOWIE Ballpark</v>
      </c>
      <c r="E30" s="43" t="str">
        <f>IF(F30&lt;&gt;"",IFERROR(VLOOKUP(F30,Категории!A:B,2,0),""),"Требуется категория")</f>
        <v>Бейсболки</v>
      </c>
      <c r="F30" s="44" t="s">
        <v>2315</v>
      </c>
      <c r="G30" s="63" t="s">
        <v>2313</v>
      </c>
      <c r="H30" s="44" t="s">
        <v>388</v>
      </c>
      <c r="J30" s="59" t="str">
        <f>'1C'!$AF$1</f>
        <v>American Needle</v>
      </c>
      <c r="K30" s="103" t="s">
        <v>820</v>
      </c>
      <c r="L30" s="59" t="str">
        <f>IF(K30&lt;&gt;"",IFERROR(VLOOKUP(A30,'1C'!A:T,8,0),IFERROR(VLOOKUP(K30,Colors!D:E,2,0),"")),"")</f>
        <v>белый</v>
      </c>
      <c r="M30" s="145" t="str">
        <f>IF(K30&lt;&gt;"",IFERROR(VLOOKUP(A30,'1C'!A:T,18,0),IFERROR(VLOOKUP(K30,Colors!D:E,2,0),"")),"")</f>
        <v>белый</v>
      </c>
      <c r="N30" s="141" t="str">
        <f>Order!B28</f>
        <v>100% Хлопок</v>
      </c>
      <c r="O30" s="65"/>
      <c r="P30" s="63" t="s">
        <v>43</v>
      </c>
      <c r="Q30" s="59" t="s">
        <v>15</v>
      </c>
      <c r="R30" s="58" t="s">
        <v>382</v>
      </c>
      <c r="S30" s="58">
        <v>12</v>
      </c>
      <c r="V30" s="58"/>
      <c r="X30" s="58"/>
      <c r="Z30" s="58"/>
      <c r="AB30" s="58"/>
      <c r="AD30" s="58"/>
      <c r="AQ30" s="57">
        <f t="shared" si="1"/>
        <v>12</v>
      </c>
      <c r="AR30" s="66" t="str">
        <f>Order!A28</f>
        <v>BD</v>
      </c>
      <c r="AS30" s="56" t="str">
        <f ca="1">IF(BA30&gt;0,_xlfn.XLOOKUP(A30,'1C'!$A:$A,'1C'!P:P,"",0,),IF(AR30&lt;&gt;"",VLOOKUP(AR30,INDIRECT(SUBSTITUTE($J30," ","")&amp;"Manufactures"),3,0),"Требуется код страны"))</f>
        <v>American Needle, Inc; 1275 Busch Parkway, Buffalo Grove, IL 60089, USA</v>
      </c>
      <c r="AT30" s="56" t="str">
        <f ca="1">IF(BA30&gt;0,_xlfn.XLOOKUP(A30,'1C'!$A:$A,'1C'!O:O,"",0),IF(AR30&lt;&gt;"",VLOOKUP(AR30,INDIRECT(SUBSTITUTE($J30," ","")&amp;"Manufactures"),2,0),"Требуется код страны"))</f>
        <v>Бангладеш</v>
      </c>
      <c r="AU30" s="76">
        <f t="shared" si="2"/>
        <v>0.1</v>
      </c>
      <c r="AV30" s="43">
        <f t="shared" si="3"/>
        <v>0.15000000000000002</v>
      </c>
      <c r="AW30" s="43">
        <f t="shared" si="4"/>
        <v>1.2000000000000002</v>
      </c>
      <c r="AX30" s="43">
        <f t="shared" si="5"/>
        <v>1.8000000000000003</v>
      </c>
      <c r="AY30" s="155">
        <v>7.4375</v>
      </c>
      <c r="AZ30" s="156">
        <f t="shared" si="6"/>
        <v>89.25</v>
      </c>
      <c r="BA30" s="45">
        <f>IF(A30&lt;&gt;"",IF(_xlfn.XLOOKUP(A30,'1C'!A:A,'1C'!A:A,0,0)&gt;0,1,0),"")</f>
        <v>0</v>
      </c>
      <c r="BB30" s="149">
        <f>IF(C30&lt;&gt;"",IF(_xlfn.XLOOKUP(C30,'1C'!S:S,'1C'!S:S,0,0)&gt;0,0,1),"")</f>
        <v>0</v>
      </c>
      <c r="BC30" s="73">
        <f t="shared" si="7"/>
        <v>1</v>
      </c>
    </row>
    <row r="31" spans="1:55" ht="123.95" customHeight="1">
      <c r="A31" s="43" t="str">
        <f t="shared" si="0"/>
        <v>20001B-PINKFclassic blue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06-359-06</v>
      </c>
      <c r="C31" s="44" t="s">
        <v>2070</v>
      </c>
      <c r="D31" s="43" t="str">
        <f>VLOOKUP(C31,Names!A:B,2,0)</f>
        <v>Pink Floyd Ballpark</v>
      </c>
      <c r="E31" s="43" t="str">
        <f>IF(F31&lt;&gt;"",IFERROR(VLOOKUP(F31,Категории!A:B,2,0),""),"Требуется категория")</f>
        <v>Бейсболки</v>
      </c>
      <c r="F31" s="44" t="s">
        <v>2315</v>
      </c>
      <c r="G31" s="63" t="s">
        <v>2313</v>
      </c>
      <c r="H31" s="44" t="s">
        <v>388</v>
      </c>
      <c r="J31" s="59" t="str">
        <f>'1C'!$AF$1</f>
        <v>American Needle</v>
      </c>
      <c r="K31" s="103" t="s">
        <v>2268</v>
      </c>
      <c r="L31" s="58" t="s">
        <v>71</v>
      </c>
      <c r="M31" s="66"/>
      <c r="N31" s="141" t="str">
        <f>Order!B29</f>
        <v>100% Хлопок</v>
      </c>
      <c r="O31" s="65"/>
      <c r="P31" s="63" t="s">
        <v>43</v>
      </c>
      <c r="Q31" s="59" t="s">
        <v>15</v>
      </c>
      <c r="R31" s="58" t="s">
        <v>382</v>
      </c>
      <c r="S31" s="58">
        <v>38</v>
      </c>
      <c r="V31" s="58"/>
      <c r="X31" s="58"/>
      <c r="Z31" s="58"/>
      <c r="AB31" s="58"/>
      <c r="AD31" s="58"/>
      <c r="AQ31" s="57">
        <f t="shared" si="1"/>
        <v>38</v>
      </c>
      <c r="AR31" s="66" t="str">
        <f>Order!A29</f>
        <v>BD</v>
      </c>
      <c r="AS31" s="56" t="str">
        <f ca="1">IF(BA31&gt;0,_xlfn.XLOOKUP(A31,'1C'!$A:$A,'1C'!P:P,"",0,),IF(AR31&lt;&gt;"",VLOOKUP(AR31,INDIRECT(SUBSTITUTE($J31," ","")&amp;"Manufactures"),3,0),"Требуется код страны"))</f>
        <v>American Needle, Inc; 1275 Busch Parkway, Buffalo Grove, IL 60089, USA</v>
      </c>
      <c r="AT31" s="56" t="str">
        <f ca="1">IF(BA31&gt;0,_xlfn.XLOOKUP(A31,'1C'!$A:$A,'1C'!O:O,"",0),IF(AR31&lt;&gt;"",VLOOKUP(AR31,INDIRECT(SUBSTITUTE($J31," ","")&amp;"Manufactures"),2,0),"Требуется код страны"))</f>
        <v>Бангладеш</v>
      </c>
      <c r="AU31" s="76">
        <f t="shared" si="2"/>
        <v>0.1</v>
      </c>
      <c r="AV31" s="43">
        <f t="shared" si="3"/>
        <v>0.15000000000000002</v>
      </c>
      <c r="AW31" s="43">
        <f t="shared" si="4"/>
        <v>3.8000000000000003</v>
      </c>
      <c r="AX31" s="43">
        <f t="shared" si="5"/>
        <v>5.7000000000000011</v>
      </c>
      <c r="AY31" s="155">
        <v>7.4376315789473679</v>
      </c>
      <c r="AZ31" s="156">
        <f t="shared" si="6"/>
        <v>282.63</v>
      </c>
      <c r="BA31" s="45">
        <f>IF(A31&lt;&gt;"",IF(_xlfn.XLOOKUP(A31,'1C'!A:A,'1C'!A:A,0,0)&gt;0,1,0),"")</f>
        <v>0</v>
      </c>
      <c r="BB31" s="149">
        <f>IF(C31&lt;&gt;"",IF(_xlfn.XLOOKUP(C31,'1C'!S:S,'1C'!S:S,0,0)&gt;0,0,1),"")</f>
        <v>0</v>
      </c>
      <c r="BC31" s="73">
        <f t="shared" si="7"/>
        <v>1</v>
      </c>
    </row>
    <row r="32" spans="1:55" ht="133.69999999999999" customHeight="1">
      <c r="A32" s="43" t="str">
        <f t="shared" si="0"/>
        <v>20001B-SBEARivory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06-360-17</v>
      </c>
      <c r="C32" s="44" t="s">
        <v>2071</v>
      </c>
      <c r="D32" s="43" t="str">
        <f>VLOOKUP(C32,Names!A:B,2,0)</f>
        <v>Smokey Bear Washed Slouch</v>
      </c>
      <c r="E32" s="43" t="str">
        <f>IF(F32&lt;&gt;"",IFERROR(VLOOKUP(F32,Категории!A:B,2,0),""),"Требуется категория")</f>
        <v>Бейсболки</v>
      </c>
      <c r="F32" s="44" t="s">
        <v>2315</v>
      </c>
      <c r="G32" s="63" t="s">
        <v>2716</v>
      </c>
      <c r="H32" s="44" t="s">
        <v>388</v>
      </c>
      <c r="J32" s="59" t="str">
        <f>'1C'!$AF$1</f>
        <v>American Needle</v>
      </c>
      <c r="K32" s="103" t="s">
        <v>2266</v>
      </c>
      <c r="L32" s="58" t="s">
        <v>57</v>
      </c>
      <c r="M32" s="66"/>
      <c r="N32" s="141" t="str">
        <f>Order!B30</f>
        <v>100% Хлопок</v>
      </c>
      <c r="O32" s="65"/>
      <c r="P32" s="63" t="s">
        <v>43</v>
      </c>
      <c r="Q32" s="59" t="s">
        <v>15</v>
      </c>
      <c r="R32" s="58" t="s">
        <v>382</v>
      </c>
      <c r="S32" s="58">
        <v>6</v>
      </c>
      <c r="V32" s="58"/>
      <c r="X32" s="58"/>
      <c r="Z32" s="58"/>
      <c r="AB32" s="58"/>
      <c r="AD32" s="58"/>
      <c r="AQ32" s="57">
        <f t="shared" si="1"/>
        <v>6</v>
      </c>
      <c r="AR32" s="66" t="str">
        <f>Order!A30</f>
        <v>BD</v>
      </c>
      <c r="AS32" s="56" t="str">
        <f ca="1">IF(BA32&gt;0,_xlfn.XLOOKUP(A32,'1C'!$A:$A,'1C'!P:P,"",0,),IF(AR32&lt;&gt;"",VLOOKUP(AR32,INDIRECT(SUBSTITUTE($J32," ","")&amp;"Manufactures"),3,0),"Требуется код страны"))</f>
        <v>American Needle, Inc; 1275 Busch Parkway, Buffalo Grove, IL 60089, USA</v>
      </c>
      <c r="AT32" s="56" t="str">
        <f ca="1">IF(BA32&gt;0,_xlfn.XLOOKUP(A32,'1C'!$A:$A,'1C'!O:O,"",0),IF(AR32&lt;&gt;"",VLOOKUP(AR32,INDIRECT(SUBSTITUTE($J32," ","")&amp;"Manufactures"),2,0),"Требуется код страны"))</f>
        <v>Бангладеш</v>
      </c>
      <c r="AU32" s="76">
        <f t="shared" si="2"/>
        <v>0.1</v>
      </c>
      <c r="AV32" s="43">
        <f t="shared" si="3"/>
        <v>0.15000000000000002</v>
      </c>
      <c r="AW32" s="43">
        <f t="shared" si="4"/>
        <v>0.60000000000000009</v>
      </c>
      <c r="AX32" s="43">
        <f t="shared" si="5"/>
        <v>0.90000000000000013</v>
      </c>
      <c r="AY32" s="155">
        <v>7.8633333333333333</v>
      </c>
      <c r="AZ32" s="156">
        <f t="shared" si="6"/>
        <v>47.18</v>
      </c>
      <c r="BA32" s="45">
        <f>IF(A32&lt;&gt;"",IF(_xlfn.XLOOKUP(A32,'1C'!A:A,'1C'!A:A,0,0)&gt;0,1,0),"")</f>
        <v>0</v>
      </c>
      <c r="BB32" s="149">
        <f>IF(C32&lt;&gt;"",IF(_xlfn.XLOOKUP(C32,'1C'!S:S,'1C'!S:S,0,0)&gt;0,0,1),"")</f>
        <v>0</v>
      </c>
      <c r="BC32" s="73">
        <f t="shared" si="7"/>
        <v>1</v>
      </c>
    </row>
    <row r="33" spans="1:55" ht="119.65" customHeight="1">
      <c r="A33" s="43" t="str">
        <f t="shared" si="0"/>
        <v>21005A-ASEheather gray - black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06-361-10</v>
      </c>
      <c r="C33" s="44" t="s">
        <v>2072</v>
      </c>
      <c r="D33" s="43" t="str">
        <f>VLOOKUP(C33,Names!A:B,2,0)</f>
        <v>AUSTIN SENATORS Archive Legend</v>
      </c>
      <c r="E33" s="43" t="str">
        <f>IF(F33&lt;&gt;"",IFERROR(VLOOKUP(F33,Категории!A:B,2,0),""),"Требуется категория")</f>
        <v>Бейсболки</v>
      </c>
      <c r="F33" s="44" t="s">
        <v>2315</v>
      </c>
      <c r="G33" s="63" t="s">
        <v>884</v>
      </c>
      <c r="H33" s="44" t="s">
        <v>388</v>
      </c>
      <c r="J33" s="59" t="str">
        <f>'1C'!$AF$1</f>
        <v>American Needle</v>
      </c>
      <c r="K33" s="103" t="s">
        <v>2270</v>
      </c>
      <c r="L33" s="58" t="s">
        <v>246</v>
      </c>
      <c r="M33" s="66"/>
      <c r="N33" s="141" t="str">
        <f>Order!B31</f>
        <v>60% Полиэстер - 40% Шерсть</v>
      </c>
      <c r="O33" s="65"/>
      <c r="P33" s="63" t="s">
        <v>44</v>
      </c>
      <c r="Q33" s="59" t="s">
        <v>15</v>
      </c>
      <c r="R33" s="58" t="s">
        <v>382</v>
      </c>
      <c r="S33" s="58">
        <v>12</v>
      </c>
      <c r="V33" s="58"/>
      <c r="X33" s="58"/>
      <c r="Z33" s="58"/>
      <c r="AB33" s="58"/>
      <c r="AD33" s="58"/>
      <c r="AQ33" s="57">
        <f t="shared" si="1"/>
        <v>12</v>
      </c>
      <c r="AR33" s="66" t="str">
        <f>Order!A31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American Needle, Inc; 1275 Busch Parkway, Buffalo Grove, IL 60089, USA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1.2000000000000002</v>
      </c>
      <c r="AX33" s="43">
        <f t="shared" si="5"/>
        <v>1.8000000000000003</v>
      </c>
      <c r="AY33" s="155">
        <v>10.625</v>
      </c>
      <c r="AZ33" s="156">
        <f t="shared" si="6"/>
        <v>127.5</v>
      </c>
      <c r="BA33" s="45">
        <f>IF(A33&lt;&gt;"",IF(_xlfn.XLOOKUP(A33,'1C'!A:A,'1C'!A:A,0,0)&gt;0,1,0),"")</f>
        <v>0</v>
      </c>
      <c r="BB33" s="149">
        <f>IF(C33&lt;&gt;"",IF(_xlfn.XLOOKUP(C33,'1C'!S:S,'1C'!S:S,0,0)&gt;0,0,1),"")</f>
        <v>0</v>
      </c>
      <c r="BC33" s="73">
        <f t="shared" si="7"/>
        <v>1</v>
      </c>
    </row>
    <row r="34" spans="1:55" ht="128.65" customHeight="1">
      <c r="A34" s="43" t="str">
        <f t="shared" si="0"/>
        <v>21005A-BATblack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06-140-09</v>
      </c>
      <c r="C34" s="44" t="s">
        <v>2073</v>
      </c>
      <c r="D34" s="43" t="str">
        <f>IF(A34&lt;&gt;"",_xlfn.XLOOKUP(C34,'1C'!S:S,'1C'!T:T,"",0),"")</f>
        <v>Baltimore Terrapins Archive MILB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</v>
      </c>
      <c r="G34" s="56" t="str">
        <f>IF(C34&lt;&gt;"",IF(BA34&gt;0,_xlfn.XLOOKUP(A34,'1C'!A:A,'1C'!L:L,"",0),_xlfn.XLOOKUP(C34,'1C'!S:S,'1C'!L:L,"",0)),"")</f>
        <v>Sport</v>
      </c>
      <c r="H34" s="43" t="str">
        <f>IF(A34&lt;&gt;"",_xlfn.XLOOKUP(A34,'1C'!A:A,'1C'!M:M,_xlfn.XLOOKUP(C34,'1C'!S:S,'1C'!M:M,"",0),0))</f>
        <v>всесезон</v>
      </c>
      <c r="J34" s="59" t="str">
        <f>'1C'!$AF$1</f>
        <v>American Needle</v>
      </c>
      <c r="K34" s="103" t="s">
        <v>819</v>
      </c>
      <c r="L34" s="59" t="str">
        <f>IF(K34&lt;&gt;"",IFERROR(VLOOKUP(A34,'1C'!A:T,8,0),IFERROR(VLOOKUP(K34,Colors!D:E,2,0),"")),"")</f>
        <v>черный</v>
      </c>
      <c r="M34" s="145" t="str">
        <f>IF(K34&lt;&gt;"",IFERROR(VLOOKUP(A34,'1C'!A:T,18,0),IFERROR(VLOOKUP(K34,Colors!D:E,2,0),"")),"")</f>
        <v>черный</v>
      </c>
      <c r="N34" s="146" t="str">
        <f>IF(A34&lt;&gt;"",_xlfn.XLOOKUP(A34,'1C'!A:A,'1C'!I:I,_xlfn.XLOOKUP(C34,'1C'!S:S,'1C'!I:I,"",0),0),"")</f>
        <v>60% полиэстер - 40% шерсть</v>
      </c>
      <c r="O34" s="65"/>
      <c r="P34" s="56" t="str">
        <f>IF(A34&lt;&gt;"",_xlfn.XLOOKUP(A34,'1C'!A:A,'1C'!N:N,_xlfn.XLOOKUP(C34,'1C'!S:S,'1C'!N:N,"",0),0),"")</f>
        <v>шерстяные</v>
      </c>
      <c r="Q34" s="59" t="s">
        <v>15</v>
      </c>
      <c r="R34" s="59" t="str">
        <f>IF(A34&lt;&gt;"",_xlfn.XLOOKUP(A34,'1C'!A:A,'1C'!K:K,_xlfn.XLOOKUP(C34,'1C'!S:S,'1C'!K:K,"",0),0),"")</f>
        <v>Унисекс</v>
      </c>
      <c r="S34" s="58">
        <v>17</v>
      </c>
      <c r="V34" s="58"/>
      <c r="X34" s="58"/>
      <c r="Z34" s="58"/>
      <c r="AB34" s="58"/>
      <c r="AD34" s="58"/>
      <c r="AQ34" s="57">
        <f t="shared" si="1"/>
        <v>17</v>
      </c>
      <c r="AR34" s="145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American Needle, Inc; 1275 Busch Parkway, Buffalo Grove, IL 60089, USA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1.7000000000000002</v>
      </c>
      <c r="AX34" s="43">
        <f t="shared" si="5"/>
        <v>2.5500000000000003</v>
      </c>
      <c r="AY34" s="155">
        <v>10.625294117647059</v>
      </c>
      <c r="AZ34" s="156">
        <f t="shared" si="6"/>
        <v>180.63</v>
      </c>
      <c r="BA34" s="45">
        <f>IF(A34&lt;&gt;"",IF(_xlfn.XLOOKUP(A34,'1C'!A:A,'1C'!A:A,0,0)&gt;0,1,0),"")</f>
        <v>1</v>
      </c>
      <c r="BB34" s="149">
        <f>IF(C34&lt;&gt;"",IF(_xlfn.XLOOKUP(C34,'1C'!S:S,'1C'!S:S,0,0)&gt;0,0,1),"")</f>
        <v>0</v>
      </c>
      <c r="BC34" s="73">
        <f t="shared" si="7"/>
        <v>0</v>
      </c>
    </row>
    <row r="35" spans="1:55" ht="124.7" customHeight="1">
      <c r="A35" s="43" t="str">
        <f t="shared" si="0"/>
        <v>21005A-BBBblack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06-141-09</v>
      </c>
      <c r="C35" s="44" t="s">
        <v>2074</v>
      </c>
      <c r="D35" s="43" t="str">
        <f>IF(A35&lt;&gt;"",_xlfn.XLOOKUP(C35,'1C'!S:S,'1C'!T:T,"",0),"")</f>
        <v>Birmingham Black Barons Archive NL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</v>
      </c>
      <c r="G35" s="56" t="str">
        <f>IF(C35&lt;&gt;"",IF(BA35&gt;0,_xlfn.XLOOKUP(A35,'1C'!A:A,'1C'!L:L,"",0),_xlfn.XLOOKUP(C35,'1C'!S:S,'1C'!L:L,"",0)),"")</f>
        <v>Sport</v>
      </c>
      <c r="H35" s="43" t="str">
        <f>IF(A35&lt;&gt;"",_xlfn.XLOOKUP(A35,'1C'!A:A,'1C'!M:M,_xlfn.XLOOKUP(C35,'1C'!S:S,'1C'!M:M,"",0),0))</f>
        <v>всесезон</v>
      </c>
      <c r="J35" s="59" t="str">
        <f>'1C'!$AF$1</f>
        <v>American Needle</v>
      </c>
      <c r="K35" s="103" t="s">
        <v>819</v>
      </c>
      <c r="L35" s="59" t="str">
        <f>IF(K35&lt;&gt;"",IFERROR(VLOOKUP(A35,'1C'!A:T,8,0),IFERROR(VLOOKUP(K35,Colors!D:E,2,0),"")),"")</f>
        <v>черный</v>
      </c>
      <c r="M35" s="145" t="str">
        <f>IF(K35&lt;&gt;"",IFERROR(VLOOKUP(A35,'1C'!A:T,18,0),IFERROR(VLOOKUP(K35,Colors!D:E,2,0),"")),"")</f>
        <v>черный</v>
      </c>
      <c r="N35" s="146" t="str">
        <f>IF(A35&lt;&gt;"",_xlfn.XLOOKUP(A35,'1C'!A:A,'1C'!I:I,_xlfn.XLOOKUP(C35,'1C'!S:S,'1C'!I:I,"",0),0),"")</f>
        <v>60% полиэстер - 40% шерсть</v>
      </c>
      <c r="O35" s="65"/>
      <c r="P35" s="56" t="str">
        <f>IF(A35&lt;&gt;"",_xlfn.XLOOKUP(A35,'1C'!A:A,'1C'!N:N,_xlfn.XLOOKUP(C35,'1C'!S:S,'1C'!N:N,"",0),0),"")</f>
        <v>шерстяные</v>
      </c>
      <c r="Q35" s="59" t="s">
        <v>15</v>
      </c>
      <c r="R35" s="59" t="str">
        <f>IF(A35&lt;&gt;"",_xlfn.XLOOKUP(A35,'1C'!A:A,'1C'!K:K,_xlfn.XLOOKUP(C35,'1C'!S:S,'1C'!K:K,"",0),0),"")</f>
        <v>Унисекс</v>
      </c>
      <c r="S35" s="58">
        <v>17</v>
      </c>
      <c r="V35" s="58"/>
      <c r="X35" s="58"/>
      <c r="Z35" s="58"/>
      <c r="AB35" s="58"/>
      <c r="AD35" s="58"/>
      <c r="AQ35" s="57">
        <f t="shared" si="1"/>
        <v>17</v>
      </c>
      <c r="AR35" s="145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American Needle, Inc; 1275 Busch Parkway, Buffalo Grove, IL 60089, USA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1.7000000000000002</v>
      </c>
      <c r="AX35" s="43">
        <f t="shared" si="5"/>
        <v>2.5500000000000003</v>
      </c>
      <c r="AY35" s="155">
        <v>10.625294117647059</v>
      </c>
      <c r="AZ35" s="156">
        <f t="shared" si="6"/>
        <v>180.63</v>
      </c>
      <c r="BA35" s="45">
        <f>IF(A35&lt;&gt;"",IF(_xlfn.XLOOKUP(A35,'1C'!A:A,'1C'!A:A,0,0)&gt;0,1,0),"")</f>
        <v>1</v>
      </c>
      <c r="BB35" s="149">
        <f>IF(C35&lt;&gt;"",IF(_xlfn.XLOOKUP(C35,'1C'!S:S,'1C'!S:S,0,0)&gt;0,0,1),"")</f>
        <v>0</v>
      </c>
      <c r="BC35" s="73">
        <f t="shared" si="7"/>
        <v>0</v>
      </c>
    </row>
    <row r="36" spans="1:55" ht="128.65" customHeight="1">
      <c r="A36" s="43" t="str">
        <f t="shared" si="0"/>
        <v>21005A-BEGblack-red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06-362-72</v>
      </c>
      <c r="C36" s="44" t="s">
        <v>2075</v>
      </c>
      <c r="D36" s="43" t="str">
        <f>VLOOKUP(C36,Names!A:B,2,0)</f>
        <v>BALT ELITE GIANTS Archive Legend NL</v>
      </c>
      <c r="E36" s="43" t="str">
        <f>IF(F36&lt;&gt;"",IFERROR(VLOOKUP(F36,Категории!A:B,2,0),""),"Требуется категория")</f>
        <v>Бейсболки</v>
      </c>
      <c r="F36" s="44" t="s">
        <v>2315</v>
      </c>
      <c r="G36" s="63" t="s">
        <v>884</v>
      </c>
      <c r="H36" s="44" t="s">
        <v>388</v>
      </c>
      <c r="J36" s="59" t="str">
        <f>'1C'!$AF$1</f>
        <v>American Needle</v>
      </c>
      <c r="K36" s="103" t="s">
        <v>1638</v>
      </c>
      <c r="L36" s="58" t="s">
        <v>302</v>
      </c>
      <c r="M36" s="66"/>
      <c r="N36" s="141" t="str">
        <f>Order!B34</f>
        <v>60% Полиэстер - 40% Шерсть</v>
      </c>
      <c r="O36" s="65"/>
      <c r="P36" s="63" t="s">
        <v>44</v>
      </c>
      <c r="Q36" s="59" t="s">
        <v>15</v>
      </c>
      <c r="R36" s="58" t="s">
        <v>382</v>
      </c>
      <c r="S36" s="58">
        <v>17</v>
      </c>
      <c r="V36" s="58"/>
      <c r="X36" s="58"/>
      <c r="Z36" s="58"/>
      <c r="AB36" s="58"/>
      <c r="AD36" s="58"/>
      <c r="AQ36" s="59">
        <f t="shared" si="1"/>
        <v>17</v>
      </c>
      <c r="AR36" s="66" t="str">
        <f>Order!A34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American Needle, Inc; 1275 Busch Parkway, Buffalo Grove, IL 60089, USA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1.7000000000000002</v>
      </c>
      <c r="AX36" s="43">
        <f t="shared" si="5"/>
        <v>2.5500000000000003</v>
      </c>
      <c r="AY36" s="155">
        <v>10.625294117647059</v>
      </c>
      <c r="AZ36" s="156">
        <f t="shared" si="6"/>
        <v>180.63</v>
      </c>
      <c r="BA36" s="45">
        <f>IF(A36&lt;&gt;"",IF(_xlfn.XLOOKUP(A36,'1C'!A:A,'1C'!A:A,0,0)&gt;0,1,0),"")</f>
        <v>0</v>
      </c>
      <c r="BB36" s="149">
        <f>IF(C36&lt;&gt;"",IF(_xlfn.XLOOKUP(C36,'1C'!S:S,'1C'!S:S,0,0)&gt;0,0,1),"")</f>
        <v>0</v>
      </c>
      <c r="BC36" s="73">
        <f t="shared" si="7"/>
        <v>1</v>
      </c>
    </row>
    <row r="37" spans="1:55" ht="124.7" customHeight="1">
      <c r="A37" s="43" t="str">
        <f t="shared" si="0"/>
        <v>21005A-BRGblack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06-363-09</v>
      </c>
      <c r="C37" s="44" t="s">
        <v>2076</v>
      </c>
      <c r="D37" s="43" t="str">
        <f>VLOOKUP(C37,Names!A:B,2,0)</f>
        <v>BRKLYN ROYAL GIANTS Archive Legend NL</v>
      </c>
      <c r="E37" s="43" t="str">
        <f>IF(F37&lt;&gt;"",IFERROR(VLOOKUP(F37,Категории!A:B,2,0),""),"Требуется категория")</f>
        <v>Бейсболки</v>
      </c>
      <c r="F37" s="44" t="s">
        <v>2315</v>
      </c>
      <c r="G37" s="63" t="s">
        <v>884</v>
      </c>
      <c r="H37" s="44" t="s">
        <v>388</v>
      </c>
      <c r="J37" s="43" t="str">
        <f>'1C'!$AF$1</f>
        <v>American Needle</v>
      </c>
      <c r="K37" s="104" t="s">
        <v>819</v>
      </c>
      <c r="L37" s="59" t="str">
        <f>IF(K37&lt;&gt;"",IFERROR(VLOOKUP(A37,'1C'!A:T,8,0),IFERROR(VLOOKUP(K37,Colors!D:E,2,0),"")),"")</f>
        <v>черный</v>
      </c>
      <c r="M37" s="145" t="str">
        <f>IF(K37&lt;&gt;"",IFERROR(VLOOKUP(A37,'1C'!A:T,18,0),IFERROR(VLOOKUP(K37,Colors!D:E,2,0),"")),"")</f>
        <v>черный</v>
      </c>
      <c r="N37" s="141" t="str">
        <f>Order!B35</f>
        <v>60% Полиэстер - 40% Шерсть</v>
      </c>
      <c r="O37" s="65"/>
      <c r="P37" s="63" t="s">
        <v>44</v>
      </c>
      <c r="Q37" s="59" t="s">
        <v>15</v>
      </c>
      <c r="R37" s="58" t="s">
        <v>382</v>
      </c>
      <c r="S37" s="58">
        <v>17</v>
      </c>
      <c r="V37" s="58"/>
      <c r="X37" s="58"/>
      <c r="Z37" s="58"/>
      <c r="AB37" s="58"/>
      <c r="AD37" s="58"/>
      <c r="AQ37" s="59">
        <f t="shared" si="1"/>
        <v>17</v>
      </c>
      <c r="AR37" s="66" t="str">
        <f>Order!A35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American Needle, Inc; 1275 Busch Parkway, Buffalo Grove, IL 60089, USA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1.7000000000000002</v>
      </c>
      <c r="AX37" s="43">
        <f t="shared" si="5"/>
        <v>2.5500000000000003</v>
      </c>
      <c r="AY37" s="155">
        <v>10.625294117647059</v>
      </c>
      <c r="AZ37" s="156">
        <f t="shared" si="6"/>
        <v>180.63</v>
      </c>
      <c r="BA37" s="45">
        <f>IF(A37&lt;&gt;"",IF(_xlfn.XLOOKUP(A37,'1C'!A:A,'1C'!A:A,0,0)&gt;0,1,0),"")</f>
        <v>0</v>
      </c>
      <c r="BB37" s="149">
        <f>IF(C37&lt;&gt;"",IF(_xlfn.XLOOKUP(C37,'1C'!S:S,'1C'!S:S,0,0)&gt;0,0,1),"")</f>
        <v>0</v>
      </c>
      <c r="BC37" s="73">
        <f t="shared" si="7"/>
        <v>1</v>
      </c>
    </row>
    <row r="38" spans="1:55" ht="128.65" customHeight="1">
      <c r="A38" s="43" t="str">
        <f t="shared" si="0"/>
        <v>21005A-BTTivrl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06-143-38</v>
      </c>
      <c r="C38" s="44" t="s">
        <v>2077</v>
      </c>
      <c r="D38" s="43" t="str">
        <f>IF(A38&lt;&gt;"",_xlfn.XLOOKUP(C38,'1C'!S:S,'1C'!T:T,"",0),"")</f>
        <v>Brooklyn Tip-Tops Archive MILB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</v>
      </c>
      <c r="G38" s="56" t="str">
        <f>IF(C38&lt;&gt;"",IF(BA38&gt;0,_xlfn.XLOOKUP(A38,'1C'!A:A,'1C'!L:L,"",0),_xlfn.XLOOKUP(C38,'1C'!S:S,'1C'!L:L,"",0)),"")</f>
        <v>Sport</v>
      </c>
      <c r="H38" s="43" t="str">
        <f>IF(A38&lt;&gt;"",_xlfn.XLOOKUP(A38,'1C'!A:A,'1C'!M:M,_xlfn.XLOOKUP(C38,'1C'!S:S,'1C'!M:M,"",0),0))</f>
        <v>всесезон</v>
      </c>
      <c r="J38" s="43" t="str">
        <f>'1C'!$AF$1</f>
        <v>American Needle</v>
      </c>
      <c r="K38" s="104" t="s">
        <v>1400</v>
      </c>
      <c r="L38" s="59" t="str">
        <f>IF(K38&lt;&gt;"",IFERROR(VLOOKUP(A38,'1C'!A:T,8,0),IFERROR(VLOOKUP(K38,Colors!D:E,2,0),"")),"")</f>
        <v>белый / синий</v>
      </c>
      <c r="M38" s="145" t="str">
        <f>IF(K38&lt;&gt;"",IFERROR(VLOOKUP(A38,'1C'!A:T,18,0),IFERROR(VLOOKUP(K38,Colors!D:E,2,0),"")),"")</f>
        <v>белый</v>
      </c>
      <c r="N38" s="146" t="str">
        <f>IF(A38&lt;&gt;"",_xlfn.XLOOKUP(A38,'1C'!A:A,'1C'!I:I,_xlfn.XLOOKUP(C38,'1C'!S:S,'1C'!I:I,"",0),0),"")</f>
        <v>60% полиэстер - 40% шерсть</v>
      </c>
      <c r="O38" s="65"/>
      <c r="P38" s="56" t="str">
        <f>IF(A38&lt;&gt;"",_xlfn.XLOOKUP(A38,'1C'!A:A,'1C'!N:N,_xlfn.XLOOKUP(C38,'1C'!S:S,'1C'!N:N,"",0),0),"")</f>
        <v>шерстяные</v>
      </c>
      <c r="Q38" s="59" t="s">
        <v>15</v>
      </c>
      <c r="R38" s="59" t="str">
        <f>IF(A38&lt;&gt;"",_xlfn.XLOOKUP(A38,'1C'!A:A,'1C'!K:K,_xlfn.XLOOKUP(C38,'1C'!S:S,'1C'!K:K,"",0),0),"")</f>
        <v>Унисекс</v>
      </c>
      <c r="S38" s="58">
        <v>3</v>
      </c>
      <c r="V38" s="58"/>
      <c r="X38" s="58"/>
      <c r="Z38" s="58"/>
      <c r="AB38" s="58"/>
      <c r="AD38" s="58"/>
      <c r="AQ38" s="59">
        <f t="shared" si="1"/>
        <v>3</v>
      </c>
      <c r="AR38" s="145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American Needle, Inc; 1275 Busch Parkway, Buffalo Grove, IL 60089, USA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0.30000000000000004</v>
      </c>
      <c r="AX38" s="43">
        <f t="shared" si="5"/>
        <v>0.45000000000000007</v>
      </c>
      <c r="AY38" s="155">
        <v>10.626666666666667</v>
      </c>
      <c r="AZ38" s="156">
        <f t="shared" si="6"/>
        <v>31.880000000000003</v>
      </c>
      <c r="BA38" s="45">
        <f>IF(A38&lt;&gt;"",IF(_xlfn.XLOOKUP(A38,'1C'!A:A,'1C'!A:A,0,0)&gt;0,1,0),"")</f>
        <v>1</v>
      </c>
      <c r="BB38" s="149">
        <f>IF(C38&lt;&gt;"",IF(_xlfn.XLOOKUP(C38,'1C'!S:S,'1C'!S:S,0,0)&gt;0,0,1),"")</f>
        <v>0</v>
      </c>
      <c r="BC38" s="73">
        <f t="shared" si="7"/>
        <v>0</v>
      </c>
    </row>
    <row r="39" spans="1:55" ht="144" customHeight="1">
      <c r="A39" s="43" t="str">
        <f t="shared" si="0"/>
        <v>21005A-CBSroyal-ivory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06-145-95</v>
      </c>
      <c r="C39" s="44" t="s">
        <v>2078</v>
      </c>
      <c r="D39" s="43" t="str">
        <f>IF(A39&lt;&gt;"",_xlfn.XLOOKUP(C39,'1C'!S:S,'1C'!T:T,"",0),"")</f>
        <v>Chicago Blue Stockings Archive MILB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</v>
      </c>
      <c r="G39" s="56" t="str">
        <f>IF(C39&lt;&gt;"",IF(BA39&gt;0,_xlfn.XLOOKUP(A39,'1C'!A:A,'1C'!L:L,"",0),_xlfn.XLOOKUP(C39,'1C'!S:S,'1C'!L:L,"",0)),"")</f>
        <v>Sport</v>
      </c>
      <c r="H39" s="43" t="str">
        <f>IF(A39&lt;&gt;"",_xlfn.XLOOKUP(A39,'1C'!A:A,'1C'!M:M,_xlfn.XLOOKUP(C39,'1C'!S:S,'1C'!M:M,"",0),0))</f>
        <v>всесезон</v>
      </c>
      <c r="J39" s="43" t="str">
        <f>'1C'!$AF$1</f>
        <v>American Needle</v>
      </c>
      <c r="K39" s="104" t="s">
        <v>1407</v>
      </c>
      <c r="L39" s="59" t="str">
        <f>IF(K39&lt;&gt;"",IFERROR(VLOOKUP(A39,'1C'!A:T,8,0),IFERROR(VLOOKUP(K39,Colors!D:E,2,0),"")),"")</f>
        <v>синий / белый</v>
      </c>
      <c r="M39" s="145" t="str">
        <f>IF(K39&lt;&gt;"",IFERROR(VLOOKUP(A39,'1C'!A:T,18,0),IFERROR(VLOOKUP(K39,Colors!D:E,2,0),"")),"")</f>
        <v>синий</v>
      </c>
      <c r="N39" s="146" t="str">
        <f>IF(A39&lt;&gt;"",_xlfn.XLOOKUP(A39,'1C'!A:A,'1C'!I:I,_xlfn.XLOOKUP(C39,'1C'!S:S,'1C'!I:I,"",0),0),"")</f>
        <v>60% полиэстер - 40% шерсть</v>
      </c>
      <c r="O39" s="65"/>
      <c r="P39" s="56" t="str">
        <f>IF(A39&lt;&gt;"",_xlfn.XLOOKUP(A39,'1C'!A:A,'1C'!N:N,_xlfn.XLOOKUP(C39,'1C'!S:S,'1C'!N:N,"",0),0),"")</f>
        <v>шерстяные</v>
      </c>
      <c r="Q39" s="59" t="s">
        <v>15</v>
      </c>
      <c r="R39" s="59" t="str">
        <f>IF(A39&lt;&gt;"",_xlfn.XLOOKUP(A39,'1C'!A:A,'1C'!K:K,_xlfn.XLOOKUP(C39,'1C'!S:S,'1C'!K:K,"",0),0),"")</f>
        <v>Унисекс</v>
      </c>
      <c r="S39" s="58">
        <v>12</v>
      </c>
      <c r="V39" s="58"/>
      <c r="X39" s="58"/>
      <c r="Z39" s="58"/>
      <c r="AB39" s="58"/>
      <c r="AD39" s="58"/>
      <c r="AQ39" s="59">
        <f t="shared" si="1"/>
        <v>12</v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American Needle, Inc; 1275 Busch Parkway, Buffalo Grove, IL 60089, USA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1.2000000000000002</v>
      </c>
      <c r="AX39" s="43">
        <f t="shared" si="5"/>
        <v>1.8000000000000003</v>
      </c>
      <c r="AY39" s="155">
        <v>10.625</v>
      </c>
      <c r="AZ39" s="156">
        <f t="shared" si="6"/>
        <v>127.5</v>
      </c>
      <c r="BA39" s="45">
        <f>IF(A39&lt;&gt;"",IF(_xlfn.XLOOKUP(A39,'1C'!A:A,'1C'!A:A,0,0)&gt;0,1,0),"")</f>
        <v>1</v>
      </c>
      <c r="BB39" s="149">
        <f>IF(C39&lt;&gt;"",IF(_xlfn.XLOOKUP(C39,'1C'!S:S,'1C'!S:S,0,0)&gt;0,0,1),"")</f>
        <v>0</v>
      </c>
      <c r="BC39" s="73">
        <f t="shared" si="7"/>
        <v>0</v>
      </c>
    </row>
    <row r="40" spans="1:55" ht="123.95" customHeight="1">
      <c r="A40" s="43" t="str">
        <f t="shared" si="0"/>
        <v>21005A-CCUroyal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06-364-06</v>
      </c>
      <c r="C40" s="44" t="s">
        <v>2079</v>
      </c>
      <c r="D40" s="43" t="str">
        <f>VLOOKUP(C40,Names!A:B,2,0)</f>
        <v>Cleveland Cubs Archive Legend NL</v>
      </c>
      <c r="E40" s="43" t="str">
        <f>IF(F40&lt;&gt;"",IFERROR(VLOOKUP(F40,Категории!A:B,2,0),""),"Требуется категория")</f>
        <v>Бейсболки</v>
      </c>
      <c r="F40" s="44" t="s">
        <v>2315</v>
      </c>
      <c r="G40" s="63" t="s">
        <v>884</v>
      </c>
      <c r="H40" s="44" t="s">
        <v>388</v>
      </c>
      <c r="J40" s="43" t="str">
        <f>'1C'!$AF$1</f>
        <v>American Needle</v>
      </c>
      <c r="K40" s="104" t="s">
        <v>1576</v>
      </c>
      <c r="L40" s="58" t="s">
        <v>71</v>
      </c>
      <c r="M40" s="66"/>
      <c r="N40" s="141" t="str">
        <f>Order!B38</f>
        <v>60% Полиэстер - 40% Шерсть</v>
      </c>
      <c r="O40" s="65"/>
      <c r="P40" s="63" t="s">
        <v>44</v>
      </c>
      <c r="Q40" s="59" t="s">
        <v>15</v>
      </c>
      <c r="R40" s="58" t="s">
        <v>382</v>
      </c>
      <c r="S40" s="58">
        <v>29</v>
      </c>
      <c r="V40" s="58"/>
      <c r="X40" s="58"/>
      <c r="Z40" s="58"/>
      <c r="AB40" s="58"/>
      <c r="AD40" s="58"/>
      <c r="AQ40" s="59">
        <f t="shared" si="1"/>
        <v>29</v>
      </c>
      <c r="AR40" s="66" t="str">
        <f>Order!A38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American Needle, Inc; 1275 Busch Parkway, Buffalo Grove, IL 60089, USA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Y40" s="155">
        <v>10.625172413793104</v>
      </c>
      <c r="AZ40" s="156">
        <f t="shared" si="6"/>
        <v>308.13</v>
      </c>
      <c r="BA40" s="45">
        <f>IF(A40&lt;&gt;"",IF(_xlfn.XLOOKUP(A40,'1C'!A:A,'1C'!A:A,0,0)&gt;0,1,0),"")</f>
        <v>0</v>
      </c>
      <c r="BB40" s="149">
        <f>IF(C40&lt;&gt;"",IF(_xlfn.XLOOKUP(C40,'1C'!S:S,'1C'!S:S,0,0)&gt;0,0,1),"")</f>
        <v>0</v>
      </c>
      <c r="BC40" s="73">
        <f t="shared" si="7"/>
        <v>1</v>
      </c>
    </row>
    <row r="41" spans="1:55" ht="144" customHeight="1">
      <c r="A41" s="43" t="str">
        <f t="shared" si="0"/>
        <v>21005A-CHOivory-navy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06-146-70</v>
      </c>
      <c r="C41" s="44" t="s">
        <v>2080</v>
      </c>
      <c r="D41" s="43" t="str">
        <f>IF(A41&lt;&gt;"",_xlfn.XLOOKUP(C41,'1C'!S:S,'1C'!T:T,"",0),"")</f>
        <v>Chicago Orphans Archive MILB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</v>
      </c>
      <c r="G41" s="56" t="str">
        <f>IF(C41&lt;&gt;"",IF(BA41&gt;0,_xlfn.XLOOKUP(A41,'1C'!A:A,'1C'!L:L,"",0),_xlfn.XLOOKUP(C41,'1C'!S:S,'1C'!L:L,"",0)),"")</f>
        <v>Sport</v>
      </c>
      <c r="H41" s="43" t="str">
        <f>IF(A41&lt;&gt;"",_xlfn.XLOOKUP(A41,'1C'!A:A,'1C'!M:M,_xlfn.XLOOKUP(C41,'1C'!S:S,'1C'!M:M,"",0),0))</f>
        <v>всесезон</v>
      </c>
      <c r="J41" s="43" t="str">
        <f>'1C'!$AF$1</f>
        <v>American Needle</v>
      </c>
      <c r="K41" s="104" t="s">
        <v>1411</v>
      </c>
      <c r="L41" s="56" t="str">
        <f>IF(K41&lt;&gt;"",IFERROR(VLOOKUP(A41,'1C'!A:T,8,0),IFERROR(VLOOKUP(K41,Colors!D:E,2,0),"")),"")</f>
        <v>белый / темно-синий</v>
      </c>
      <c r="M41" s="145" t="str">
        <f>IF(K41&lt;&gt;"",IFERROR(VLOOKUP(A41,'1C'!A:T,18,0),IFERROR(VLOOKUP(K41,Colors!D:E,2,0),"")),"")</f>
        <v>белый</v>
      </c>
      <c r="N41" s="146" t="str">
        <f>IF(A41&lt;&gt;"",_xlfn.XLOOKUP(A41,'1C'!A:A,'1C'!I:I,_xlfn.XLOOKUP(C41,'1C'!S:S,'1C'!I:I,"",0),0),"")</f>
        <v>60% полиэстер - 40% шерсть</v>
      </c>
      <c r="O41" s="65"/>
      <c r="P41" s="56" t="str">
        <f>IF(A41&lt;&gt;"",_xlfn.XLOOKUP(A41,'1C'!A:A,'1C'!N:N,_xlfn.XLOOKUP(C41,'1C'!S:S,'1C'!N:N,"",0),0),"")</f>
        <v>шерстяные</v>
      </c>
      <c r="Q41" s="59" t="s">
        <v>15</v>
      </c>
      <c r="R41" s="59" t="str">
        <f>IF(A41&lt;&gt;"",_xlfn.XLOOKUP(A41,'1C'!A:A,'1C'!K:K,_xlfn.XLOOKUP(C41,'1C'!S:S,'1C'!K:K,"",0),0),"")</f>
        <v>Унисекс</v>
      </c>
      <c r="S41" s="58">
        <v>12</v>
      </c>
      <c r="V41" s="58"/>
      <c r="X41" s="58"/>
      <c r="Z41" s="58"/>
      <c r="AB41" s="58"/>
      <c r="AD41" s="58"/>
      <c r="AQ41" s="59">
        <f t="shared" si="1"/>
        <v>12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American Needle, Inc; 1275 Busch Parkway, Buffalo Grove, IL 60089, USA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1.2000000000000002</v>
      </c>
      <c r="AX41" s="43">
        <f t="shared" si="5"/>
        <v>1.8000000000000003</v>
      </c>
      <c r="AY41" s="155">
        <v>10.625</v>
      </c>
      <c r="AZ41" s="156">
        <f t="shared" si="6"/>
        <v>127.5</v>
      </c>
      <c r="BA41" s="45">
        <f>IF(A41&lt;&gt;"",IF(_xlfn.XLOOKUP(A41,'1C'!A:A,'1C'!A:A,0,0)&gt;0,1,0),"")</f>
        <v>1</v>
      </c>
      <c r="BB41" s="149">
        <f>IF(C41&lt;&gt;"",IF(_xlfn.XLOOKUP(C41,'1C'!S:S,'1C'!S:S,0,0)&gt;0,0,1),"")</f>
        <v>0</v>
      </c>
      <c r="BC41" s="73">
        <f t="shared" si="7"/>
        <v>0</v>
      </c>
    </row>
    <row r="42" spans="1:55" ht="119.65" customHeight="1">
      <c r="A42" s="43" t="str">
        <f t="shared" si="0"/>
        <v>21005A-CUGivory-black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06-148-48</v>
      </c>
      <c r="C42" s="44" t="s">
        <v>2081</v>
      </c>
      <c r="D42" s="43" t="str">
        <f>IF(A42&lt;&gt;"",_xlfn.XLOOKUP(C42,'1C'!S:S,'1C'!T:T,"",0),"")</f>
        <v>Chicago Union Giants Archive MILB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</v>
      </c>
      <c r="G42" s="56" t="str">
        <f>IF(C42&lt;&gt;"",IF(BA42&gt;0,_xlfn.XLOOKUP(A42,'1C'!A:A,'1C'!L:L,"",0),_xlfn.XLOOKUP(C42,'1C'!S:S,'1C'!L:L,"",0)),"")</f>
        <v>Sport</v>
      </c>
      <c r="H42" s="43" t="str">
        <f>IF(A42&lt;&gt;"",_xlfn.XLOOKUP(A42,'1C'!A:A,'1C'!M:M,_xlfn.XLOOKUP(C42,'1C'!S:S,'1C'!M:M,"",0),0))</f>
        <v>всесезон</v>
      </c>
      <c r="J42" s="43" t="str">
        <f>'1C'!$AF$1</f>
        <v>American Needle</v>
      </c>
      <c r="K42" s="104" t="s">
        <v>1419</v>
      </c>
      <c r="L42" s="59" t="str">
        <f>IF(K42&lt;&gt;"",IFERROR(VLOOKUP(A42,'1C'!A:T,8,0),IFERROR(VLOOKUP(K42,Colors!D:E,2,0),"")),"")</f>
        <v>белый / черный</v>
      </c>
      <c r="M42" s="145" t="str">
        <f>IF(K42&lt;&gt;"",IFERROR(VLOOKUP(A42,'1C'!A:T,18,0),IFERROR(VLOOKUP(K42,Colors!D:E,2,0),"")),"")</f>
        <v>белый</v>
      </c>
      <c r="N42" s="146" t="str">
        <f>IF(A42&lt;&gt;"",_xlfn.XLOOKUP(A42,'1C'!A:A,'1C'!I:I,_xlfn.XLOOKUP(C42,'1C'!S:S,'1C'!I:I,"",0),0),"")</f>
        <v>60% полиэстер - 40% шерсть</v>
      </c>
      <c r="O42" s="65"/>
      <c r="P42" s="56" t="str">
        <f>IF(A42&lt;&gt;"",_xlfn.XLOOKUP(A42,'1C'!A:A,'1C'!N:N,_xlfn.XLOOKUP(C42,'1C'!S:S,'1C'!N:N,"",0),0),"")</f>
        <v>шерстяные</v>
      </c>
      <c r="Q42" s="59" t="s">
        <v>15</v>
      </c>
      <c r="R42" s="59" t="str">
        <f>IF(A42&lt;&gt;"",_xlfn.XLOOKUP(A42,'1C'!A:A,'1C'!K:K,_xlfn.XLOOKUP(C42,'1C'!S:S,'1C'!K:K,"",0),0),"")</f>
        <v>Унисекс</v>
      </c>
      <c r="S42" s="58">
        <v>10</v>
      </c>
      <c r="V42" s="58"/>
      <c r="X42" s="58"/>
      <c r="Z42" s="58"/>
      <c r="AB42" s="58"/>
      <c r="AD42" s="58"/>
      <c r="AQ42" s="59">
        <f t="shared" si="1"/>
        <v>10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American Needle, Inc; 1275 Busch Parkway, Buffalo Grove, IL 60089, USA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1</v>
      </c>
      <c r="AX42" s="43">
        <f t="shared" si="5"/>
        <v>1.5000000000000002</v>
      </c>
      <c r="AY42" s="155">
        <v>10.625</v>
      </c>
      <c r="AZ42" s="156">
        <f t="shared" si="6"/>
        <v>106.25</v>
      </c>
      <c r="BA42" s="45">
        <f>IF(A42&lt;&gt;"",IF(_xlfn.XLOOKUP(A42,'1C'!A:A,'1C'!A:A,0,0)&gt;0,1,0),"")</f>
        <v>1</v>
      </c>
      <c r="BB42" s="149">
        <f>IF(C42&lt;&gt;"",IF(_xlfn.XLOOKUP(C42,'1C'!S:S,'1C'!S:S,0,0)&gt;0,0,1),"")</f>
        <v>0</v>
      </c>
      <c r="BC42" s="73">
        <f t="shared" si="7"/>
        <v>0</v>
      </c>
    </row>
    <row r="43" spans="1:55" ht="144" customHeight="1">
      <c r="A43" s="43" t="str">
        <f t="shared" si="0"/>
        <v>21005A-DTWivory-navy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06-149-70</v>
      </c>
      <c r="C43" s="44" t="s">
        <v>2082</v>
      </c>
      <c r="D43" s="43" t="str">
        <f>IF(A43&lt;&gt;"",_xlfn.XLOOKUP(C43,'1C'!S:S,'1C'!T:T,"",0),"")</f>
        <v>Detroit Wolverines Archive MILB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</v>
      </c>
      <c r="G43" s="56" t="str">
        <f>IF(C43&lt;&gt;"",IF(BA43&gt;0,_xlfn.XLOOKUP(A43,'1C'!A:A,'1C'!L:L,"",0),_xlfn.XLOOKUP(C43,'1C'!S:S,'1C'!L:L,"",0)),"")</f>
        <v>Sport</v>
      </c>
      <c r="H43" s="43" t="str">
        <f>IF(A43&lt;&gt;"",_xlfn.XLOOKUP(A43,'1C'!A:A,'1C'!M:M,_xlfn.XLOOKUP(C43,'1C'!S:S,'1C'!M:M,"",0),0))</f>
        <v>всесезон</v>
      </c>
      <c r="J43" s="43" t="str">
        <f>'1C'!$AF$1</f>
        <v>American Needle</v>
      </c>
      <c r="K43" s="104" t="s">
        <v>1411</v>
      </c>
      <c r="L43" s="59" t="str">
        <f>IF(K43&lt;&gt;"",IFERROR(VLOOKUP(A43,'1C'!A:T,8,0),IFERROR(VLOOKUP(K43,Colors!D:E,2,0),"")),"")</f>
        <v>белый / темно-синий</v>
      </c>
      <c r="M43" s="145" t="str">
        <f>IF(K43&lt;&gt;"",IFERROR(VLOOKUP(A43,'1C'!A:T,18,0),IFERROR(VLOOKUP(K43,Colors!D:E,2,0),"")),"")</f>
        <v>белый</v>
      </c>
      <c r="N43" s="146" t="str">
        <f>IF(A43&lt;&gt;"",_xlfn.XLOOKUP(A43,'1C'!A:A,'1C'!I:I,_xlfn.XLOOKUP(C43,'1C'!S:S,'1C'!I:I,"",0),0),"")</f>
        <v>60% полиэстер - 40% шерсть</v>
      </c>
      <c r="O43" s="65"/>
      <c r="P43" s="56" t="str">
        <f>IF(A43&lt;&gt;"",_xlfn.XLOOKUP(A43,'1C'!A:A,'1C'!N:N,_xlfn.XLOOKUP(C43,'1C'!S:S,'1C'!N:N,"",0),0),"")</f>
        <v>шерстяные</v>
      </c>
      <c r="Q43" s="59" t="s">
        <v>15</v>
      </c>
      <c r="R43" s="59" t="str">
        <f>IF(A43&lt;&gt;"",_xlfn.XLOOKUP(A43,'1C'!A:A,'1C'!K:K,_xlfn.XLOOKUP(C43,'1C'!S:S,'1C'!K:K,"",0),0),"")</f>
        <v>Унисекс</v>
      </c>
      <c r="S43" s="58">
        <v>12</v>
      </c>
      <c r="V43" s="58"/>
      <c r="X43" s="58"/>
      <c r="Z43" s="58"/>
      <c r="AB43" s="58"/>
      <c r="AD43" s="58"/>
      <c r="AQ43" s="59">
        <f t="shared" si="1"/>
        <v>12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American Needle, Inc; 1275 Busch Parkway, Buffalo Grove, IL 60089, USA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1.2000000000000002</v>
      </c>
      <c r="AX43" s="43">
        <f t="shared" si="5"/>
        <v>1.8000000000000003</v>
      </c>
      <c r="AY43" s="155">
        <v>10.625</v>
      </c>
      <c r="AZ43" s="156">
        <f t="shared" si="6"/>
        <v>127.5</v>
      </c>
      <c r="BA43" s="45">
        <f>IF(A43&lt;&gt;"",IF(_xlfn.XLOOKUP(A43,'1C'!A:A,'1C'!A:A,0,0)&gt;0,1,0),"")</f>
        <v>1</v>
      </c>
      <c r="BB43" s="149">
        <f>IF(C43&lt;&gt;"",IF(_xlfn.XLOOKUP(C43,'1C'!S:S,'1C'!S:S,0,0)&gt;0,0,1),"")</f>
        <v>0</v>
      </c>
      <c r="BC43" s="73">
        <f t="shared" si="7"/>
        <v>0</v>
      </c>
    </row>
    <row r="44" spans="1:55" ht="119.65" customHeight="1">
      <c r="A44" s="43" t="str">
        <f t="shared" si="0"/>
        <v>21005A-DWEkelly green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06-365-11</v>
      </c>
      <c r="C44" s="44" t="s">
        <v>2083</v>
      </c>
      <c r="D44" s="43" t="str">
        <f>VLOOKUP(C44,Names!A:B,2,0)</f>
        <v>Denv Wht Elephants Archive Legend NL</v>
      </c>
      <c r="E44" s="43" t="str">
        <f>IF(F44&lt;&gt;"",IFERROR(VLOOKUP(F44,Категории!A:B,2,0),""),"Требуется категория")</f>
        <v>Бейсболки</v>
      </c>
      <c r="F44" s="44" t="s">
        <v>2315</v>
      </c>
      <c r="G44" s="63" t="s">
        <v>884</v>
      </c>
      <c r="H44" s="44" t="s">
        <v>388</v>
      </c>
      <c r="J44" s="43" t="str">
        <f>'1C'!$AF$1</f>
        <v>American Needle</v>
      </c>
      <c r="K44" s="104" t="s">
        <v>2271</v>
      </c>
      <c r="L44" s="63" t="s">
        <v>60</v>
      </c>
      <c r="M44" s="66"/>
      <c r="N44" s="141" t="str">
        <f>Order!B42</f>
        <v>60% Полиэстер - 40% Шерсть</v>
      </c>
      <c r="O44" s="65"/>
      <c r="P44" s="63" t="s">
        <v>44</v>
      </c>
      <c r="Q44" s="59" t="s">
        <v>15</v>
      </c>
      <c r="R44" s="58" t="s">
        <v>382</v>
      </c>
      <c r="S44" s="58">
        <v>12</v>
      </c>
      <c r="V44" s="58"/>
      <c r="X44" s="58"/>
      <c r="Z44" s="58"/>
      <c r="AB44" s="58"/>
      <c r="AD44" s="58"/>
      <c r="AQ44" s="59">
        <f t="shared" si="1"/>
        <v>12</v>
      </c>
      <c r="AR44" s="66" t="str">
        <f>Order!A42</f>
        <v>CN</v>
      </c>
      <c r="AS44" s="56" t="str">
        <f ca="1">IF(BA44&gt;0,_xlfn.XLOOKUP(A44,'1C'!$A:$A,'1C'!P:P,"",0,),IF(AR44&lt;&gt;"",VLOOKUP(AR44,INDIRECT(SUBSTITUTE($J44," ","")&amp;"Manufactures"),3,0),"Требуется код страны"))</f>
        <v>American Needle, Inc; 1275 Busch Parkway, Buffalo Grove, IL 60089, USA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1.2000000000000002</v>
      </c>
      <c r="AX44" s="43">
        <f t="shared" si="5"/>
        <v>1.8000000000000003</v>
      </c>
      <c r="AY44" s="155">
        <v>10.625</v>
      </c>
      <c r="AZ44" s="156">
        <f t="shared" si="6"/>
        <v>127.5</v>
      </c>
      <c r="BA44" s="45">
        <f>IF(A44&lt;&gt;"",IF(_xlfn.XLOOKUP(A44,'1C'!A:A,'1C'!A:A,0,0)&gt;0,1,0),"")</f>
        <v>0</v>
      </c>
      <c r="BB44" s="149">
        <f>IF(C44&lt;&gt;"",IF(_xlfn.XLOOKUP(C44,'1C'!S:S,'1C'!S:S,0,0)&gt;0,0,1),"")</f>
        <v>0</v>
      </c>
      <c r="BC44" s="73">
        <f t="shared" si="7"/>
        <v>1</v>
      </c>
    </row>
    <row r="45" spans="1:55" ht="124.7" customHeight="1">
      <c r="A45" s="43" t="str">
        <f t="shared" si="0"/>
        <v>21005A-HOGgrey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06-150-01</v>
      </c>
      <c r="C45" s="44" t="s">
        <v>2084</v>
      </c>
      <c r="D45" s="43" t="str">
        <f>IF(A45&lt;&gt;"",_xlfn.XLOOKUP(C45,'1C'!S:S,'1C'!T:T,"",0),"")</f>
        <v>Homestead Grays Archive NL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</v>
      </c>
      <c r="G45" s="56" t="str">
        <f>IF(C45&lt;&gt;"",IF(BA45&gt;0,_xlfn.XLOOKUP(A45,'1C'!A:A,'1C'!L:L,"",0),_xlfn.XLOOKUP(C45,'1C'!S:S,'1C'!L:L,"",0)),"")</f>
        <v>Sport</v>
      </c>
      <c r="H45" s="43" t="str">
        <f>IF(A45&lt;&gt;"",_xlfn.XLOOKUP(A45,'1C'!A:A,'1C'!M:M,_xlfn.XLOOKUP(C45,'1C'!S:S,'1C'!M:M,"",0),0))</f>
        <v>всесезон</v>
      </c>
      <c r="J45" s="43" t="str">
        <f>'1C'!$AF$1</f>
        <v>American Needle</v>
      </c>
      <c r="K45" s="104" t="s">
        <v>787</v>
      </c>
      <c r="L45" s="59" t="str">
        <f>IF(K45&lt;&gt;"",IFERROR(VLOOKUP(A45,'1C'!A:T,8,0),IFERROR(VLOOKUP(K45,Colors!D:E,2,0),"")),"")</f>
        <v>светло-серый</v>
      </c>
      <c r="M45" s="145" t="str">
        <f>IF(K45&lt;&gt;"",IFERROR(VLOOKUP(A45,'1C'!A:T,18,0),IFERROR(VLOOKUP(K45,Colors!D:E,2,0),"")),"")</f>
        <v>серый</v>
      </c>
      <c r="N45" s="146" t="str">
        <f>IF(A45&lt;&gt;"",_xlfn.XLOOKUP(A45,'1C'!A:A,'1C'!I:I,_xlfn.XLOOKUP(C45,'1C'!S:S,'1C'!I:I,"",0),0),"")</f>
        <v>60% полиэстер - 40% шерсть</v>
      </c>
      <c r="O45" s="65"/>
      <c r="P45" s="56" t="str">
        <f>IF(A45&lt;&gt;"",_xlfn.XLOOKUP(A45,'1C'!A:A,'1C'!N:N,_xlfn.XLOOKUP(C45,'1C'!S:S,'1C'!N:N,"",0),0),"")</f>
        <v>шерстяные</v>
      </c>
      <c r="Q45" s="59" t="s">
        <v>15</v>
      </c>
      <c r="R45" s="59" t="str">
        <f>IF(A45&lt;&gt;"",_xlfn.XLOOKUP(A45,'1C'!A:A,'1C'!K:K,_xlfn.XLOOKUP(C45,'1C'!S:S,'1C'!K:K,"",0),0),"")</f>
        <v>Унисекс</v>
      </c>
      <c r="S45" s="58">
        <v>29</v>
      </c>
      <c r="V45" s="58"/>
      <c r="X45" s="58"/>
      <c r="Z45" s="58"/>
      <c r="AB45" s="58"/>
      <c r="AD45" s="58"/>
      <c r="AQ45" s="59">
        <f t="shared" si="1"/>
        <v>29</v>
      </c>
      <c r="AR45" s="43" t="str">
        <f>IF(A45&lt;&gt;"",_xlfn.XLOOKUP(_xlfn.XLOOKUP(A45,'1C'!A:A,'1C'!O:O,_xlfn.XLOOKUP(C45,'1C'!S:S,'1C'!O:O,"",0),0),Settings!N:N,Settings!O:O,"",0),"")</f>
        <v>CN</v>
      </c>
      <c r="AS45" s="56" t="str">
        <f ca="1">IF(BA45&gt;0,_xlfn.XLOOKUP(A45,'1C'!$A:$A,'1C'!P:P,"",0,),IF(AR45&lt;&gt;"",VLOOKUP(AR45,INDIRECT(SUBSTITUTE($J45," ","")&amp;"Manufactures"),3,0),"Требуется код страны"))</f>
        <v>American Needle, Inc; 1275 Busch Parkway, Buffalo Grove, IL 60089, USA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2.9000000000000004</v>
      </c>
      <c r="AX45" s="43">
        <f t="shared" si="5"/>
        <v>4.3500000000000005</v>
      </c>
      <c r="AY45" s="155">
        <v>10.625172413793104</v>
      </c>
      <c r="AZ45" s="156">
        <f t="shared" si="6"/>
        <v>308.13</v>
      </c>
      <c r="BA45" s="45">
        <f>IF(A45&lt;&gt;"",IF(_xlfn.XLOOKUP(A45,'1C'!A:A,'1C'!A:A,0,0)&gt;0,1,0),"")</f>
        <v>1</v>
      </c>
      <c r="BB45" s="149">
        <f>IF(C45&lt;&gt;"",IF(_xlfn.XLOOKUP(C45,'1C'!S:S,'1C'!S:S,0,0)&gt;0,0,1),"")</f>
        <v>0</v>
      </c>
      <c r="BC45" s="73">
        <f t="shared" si="7"/>
        <v>0</v>
      </c>
    </row>
    <row r="46" spans="1:55" ht="119.65" customHeight="1">
      <c r="A46" s="43" t="str">
        <f t="shared" si="0"/>
        <v>21005A-KCPivory-navy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06-152-70</v>
      </c>
      <c r="C46" s="44" t="s">
        <v>2085</v>
      </c>
      <c r="D46" s="43" t="str">
        <f>IF(A46&lt;&gt;"",_xlfn.XLOOKUP(C46,'1C'!S:S,'1C'!T:T,"",0),"")</f>
        <v>Kansas City Packers Archive MILB</v>
      </c>
      <c r="E46" s="43" t="str">
        <f>IF(F46&lt;&gt;"",IFERROR(VLOOKUP(F46,Категории!A:B,2,0),""),"Требуется категория")</f>
        <v>Бейсболки</v>
      </c>
      <c r="F46" s="43" t="str">
        <f>IF(A46&lt;&gt;"",IF(BA46&gt;0,_xlfn.XLOOKUP(A46,'1C'!A:A,'1C'!J:J,"",0),_xlfn.XLOOKUP(C46,'1C'!S:S,'1C'!J:J,"",0)),"")</f>
        <v>Бейсболка</v>
      </c>
      <c r="G46" s="56" t="str">
        <f>IF(C46&lt;&gt;"",IF(BA46&gt;0,_xlfn.XLOOKUP(A46,'1C'!A:A,'1C'!L:L,"",0),_xlfn.XLOOKUP(C46,'1C'!S:S,'1C'!L:L,"",0)),"")</f>
        <v>Sport</v>
      </c>
      <c r="H46" s="43" t="str">
        <f>IF(A46&lt;&gt;"",_xlfn.XLOOKUP(A46,'1C'!A:A,'1C'!M:M,_xlfn.XLOOKUP(C46,'1C'!S:S,'1C'!M:M,"",0),0))</f>
        <v>всесезон</v>
      </c>
      <c r="J46" s="43" t="str">
        <f>'1C'!$AF$1</f>
        <v>American Needle</v>
      </c>
      <c r="K46" s="104" t="s">
        <v>1411</v>
      </c>
      <c r="L46" s="56" t="str">
        <f>IF(K46&lt;&gt;"",IFERROR(VLOOKUP(A46,'1C'!A:T,8,0),IFERROR(VLOOKUP(K46,Colors!D:E,2,0),"")),"")</f>
        <v>белый / темно-синий</v>
      </c>
      <c r="M46" s="145" t="str">
        <f>IF(K46&lt;&gt;"",IFERROR(VLOOKUP(A46,'1C'!A:T,18,0),IFERROR(VLOOKUP(K46,Colors!D:E,2,0),"")),"")</f>
        <v>белый</v>
      </c>
      <c r="N46" s="146" t="str">
        <f>IF(A46&lt;&gt;"",_xlfn.XLOOKUP(A46,'1C'!A:A,'1C'!I:I,_xlfn.XLOOKUP(C46,'1C'!S:S,'1C'!I:I,"",0),0),"")</f>
        <v>60% полиэстер - 40% шерсть</v>
      </c>
      <c r="O46" s="65"/>
      <c r="P46" s="56" t="str">
        <f>IF(A46&lt;&gt;"",_xlfn.XLOOKUP(A46,'1C'!A:A,'1C'!N:N,_xlfn.XLOOKUP(C46,'1C'!S:S,'1C'!N:N,"",0),0),"")</f>
        <v>шерстяные</v>
      </c>
      <c r="Q46" s="59" t="s">
        <v>15</v>
      </c>
      <c r="R46" s="59" t="str">
        <f>IF(A46&lt;&gt;"",_xlfn.XLOOKUP(A46,'1C'!A:A,'1C'!K:K,_xlfn.XLOOKUP(C46,'1C'!S:S,'1C'!K:K,"",0),0),"")</f>
        <v>Унисекс</v>
      </c>
      <c r="S46" s="58">
        <v>29</v>
      </c>
      <c r="V46" s="58"/>
      <c r="X46" s="58"/>
      <c r="Z46" s="58"/>
      <c r="AB46" s="58"/>
      <c r="AD46" s="58"/>
      <c r="AQ46" s="59">
        <f t="shared" si="1"/>
        <v>29</v>
      </c>
      <c r="AR46" s="43" t="str">
        <f>IF(A46&lt;&gt;"",_xlfn.XLOOKUP(_xlfn.XLOOKUP(A46,'1C'!A:A,'1C'!O:O,_xlfn.XLOOKUP(C46,'1C'!S:S,'1C'!O:O,"",0),0),Settings!N:N,Settings!O:O,"",0),"")</f>
        <v>CN</v>
      </c>
      <c r="AS46" s="56" t="str">
        <f ca="1">IF(BA46&gt;0,_xlfn.XLOOKUP(A46,'1C'!$A:$A,'1C'!P:P,"",0,),IF(AR46&lt;&gt;"",VLOOKUP(AR46,INDIRECT(SUBSTITUTE($J46," ","")&amp;"Manufactures"),3,0),"Требуется код страны"))</f>
        <v>American Needle, Inc; 1275 Busch Parkway, Buffalo Grove, IL 60089, USA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>
        <f t="shared" si="4"/>
        <v>2.9000000000000004</v>
      </c>
      <c r="AX46" s="43">
        <f t="shared" si="5"/>
        <v>4.3500000000000005</v>
      </c>
      <c r="AY46" s="155">
        <v>10.625172413793104</v>
      </c>
      <c r="AZ46" s="156">
        <f t="shared" si="6"/>
        <v>308.13</v>
      </c>
      <c r="BA46" s="45">
        <f>IF(A46&lt;&gt;"",IF(_xlfn.XLOOKUP(A46,'1C'!A:A,'1C'!A:A,0,0)&gt;0,1,0),"")</f>
        <v>1</v>
      </c>
      <c r="BB46" s="149">
        <f>IF(C46&lt;&gt;"",IF(_xlfn.XLOOKUP(C46,'1C'!S:S,'1C'!S:S,0,0)&gt;0,0,1),"")</f>
        <v>0</v>
      </c>
      <c r="BC46" s="73">
        <f t="shared" si="7"/>
        <v>0</v>
      </c>
    </row>
    <row r="47" spans="1:55" ht="119.65" customHeight="1">
      <c r="A47" s="43" t="str">
        <f t="shared" si="0"/>
        <v>21005A-LAKblack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06-366-09</v>
      </c>
      <c r="C47" s="44" t="s">
        <v>2086</v>
      </c>
      <c r="D47" s="43" t="str">
        <f>VLOOKUP(C47,Names!A:B,2,0)</f>
        <v>LA KINGS Archive Legend NHL</v>
      </c>
      <c r="E47" s="43" t="str">
        <f>IF(F47&lt;&gt;"",IFERROR(VLOOKUP(F47,Категории!A:B,2,0),""),"Требуется категория")</f>
        <v>Бейсболки</v>
      </c>
      <c r="F47" s="44" t="s">
        <v>2315</v>
      </c>
      <c r="G47" s="63" t="s">
        <v>884</v>
      </c>
      <c r="H47" s="44" t="s">
        <v>388</v>
      </c>
      <c r="J47" s="43" t="str">
        <f>'1C'!$AF$1</f>
        <v>American Needle</v>
      </c>
      <c r="K47" s="104" t="s">
        <v>819</v>
      </c>
      <c r="L47" s="56" t="str">
        <f>IF(K47&lt;&gt;"",IFERROR(VLOOKUP(A47,'1C'!A:T,8,0),IFERROR(VLOOKUP(K47,Colors!D:E,2,0),"")),"")</f>
        <v>черный</v>
      </c>
      <c r="M47" s="145" t="str">
        <f>IF(K47&lt;&gt;"",IFERROR(VLOOKUP(A47,'1C'!A:T,18,0),IFERROR(VLOOKUP(K47,Colors!D:E,2,0),"")),"")</f>
        <v>черный</v>
      </c>
      <c r="N47" s="141" t="str">
        <f>Order!B45</f>
        <v>60% Полиэстер - 40% Шерсть</v>
      </c>
      <c r="O47" s="65"/>
      <c r="P47" s="63" t="s">
        <v>44</v>
      </c>
      <c r="Q47" s="59" t="s">
        <v>15</v>
      </c>
      <c r="R47" s="58" t="s">
        <v>382</v>
      </c>
      <c r="S47" s="58">
        <v>6</v>
      </c>
      <c r="V47" s="58"/>
      <c r="X47" s="58"/>
      <c r="Z47" s="58"/>
      <c r="AB47" s="58"/>
      <c r="AD47" s="58"/>
      <c r="AQ47" s="59">
        <f t="shared" si="1"/>
        <v>6</v>
      </c>
      <c r="AR47" s="66" t="str">
        <f>Order!A45</f>
        <v>CN</v>
      </c>
      <c r="AS47" s="56" t="str">
        <f ca="1">IF(BA47&gt;0,_xlfn.XLOOKUP(A47,'1C'!$A:$A,'1C'!P:P,"",0,),IF(AR47&lt;&gt;"",VLOOKUP(AR47,INDIRECT(SUBSTITUTE($J47," ","")&amp;"Manufactures"),3,0),"Требуется код страны"))</f>
        <v>American Needle, Inc; 1275 Busch Parkway, Buffalo Grove, IL 60089, USA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0.60000000000000009</v>
      </c>
      <c r="AX47" s="43">
        <f t="shared" si="5"/>
        <v>0.90000000000000013</v>
      </c>
      <c r="AY47" s="155">
        <v>13.388333333333334</v>
      </c>
      <c r="AZ47" s="156">
        <f t="shared" si="6"/>
        <v>80.33</v>
      </c>
      <c r="BA47" s="45">
        <f>IF(A47&lt;&gt;"",IF(_xlfn.XLOOKUP(A47,'1C'!A:A,'1C'!A:A,0,0)&gt;0,1,0),"")</f>
        <v>0</v>
      </c>
      <c r="BB47" s="149">
        <f>IF(C47&lt;&gt;"",IF(_xlfn.XLOOKUP(C47,'1C'!S:S,'1C'!S:S,0,0)&gt;0,0,1),"")</f>
        <v>0</v>
      </c>
      <c r="BC47" s="73">
        <f t="shared" si="7"/>
        <v>1</v>
      </c>
    </row>
    <row r="48" spans="1:55" ht="131.1" customHeight="1">
      <c r="A48" s="43" t="str">
        <f t="shared" si="0"/>
        <v>21005A-LOSnavy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06-367-16</v>
      </c>
      <c r="C48" s="44" t="s">
        <v>2087</v>
      </c>
      <c r="D48" s="43" t="str">
        <f>VLOOKUP(C48,Names!A:B,2,0)</f>
        <v>LA ANGELS Archive Legend MILB</v>
      </c>
      <c r="E48" s="43" t="str">
        <f>IF(F48&lt;&gt;"",IFERROR(VLOOKUP(F48,Категории!A:B,2,0),""),"Требуется категория")</f>
        <v>Бейсболки</v>
      </c>
      <c r="F48" s="44" t="s">
        <v>2315</v>
      </c>
      <c r="G48" s="63" t="s">
        <v>884</v>
      </c>
      <c r="H48" s="44" t="s">
        <v>388</v>
      </c>
      <c r="J48" s="43" t="str">
        <f>'1C'!$AF$1</f>
        <v>American Needle</v>
      </c>
      <c r="K48" s="104" t="s">
        <v>818</v>
      </c>
      <c r="L48" s="56" t="str">
        <f>IF(K48&lt;&gt;"",IFERROR(VLOOKUP(A48,'1C'!A:T,8,0),IFERROR(VLOOKUP(K48,Colors!D:E,2,0),"")),"")</f>
        <v>темно-синий</v>
      </c>
      <c r="M48" s="145" t="str">
        <f>IF(K48&lt;&gt;"",IFERROR(VLOOKUP(A48,'1C'!A:T,18,0),IFERROR(VLOOKUP(K48,Colors!D:E,2,0),"")),"")</f>
        <v>темно-синий</v>
      </c>
      <c r="N48" s="141" t="str">
        <f>Order!B46</f>
        <v>60% Полиэстер - 40% Шерсть</v>
      </c>
      <c r="O48" s="65"/>
      <c r="P48" s="63" t="s">
        <v>44</v>
      </c>
      <c r="Q48" s="59" t="s">
        <v>15</v>
      </c>
      <c r="R48" s="58" t="s">
        <v>382</v>
      </c>
      <c r="S48" s="58">
        <v>46</v>
      </c>
      <c r="V48" s="58"/>
      <c r="X48" s="58"/>
      <c r="Z48" s="58"/>
      <c r="AB48" s="58"/>
      <c r="AD48" s="58"/>
      <c r="AQ48" s="59">
        <f t="shared" si="1"/>
        <v>46</v>
      </c>
      <c r="AR48" s="66" t="str">
        <f>Order!A46</f>
        <v>CN</v>
      </c>
      <c r="AS48" s="56" t="str">
        <f ca="1">IF(BA48&gt;0,_xlfn.XLOOKUP(A48,'1C'!$A:$A,'1C'!P:P,"",0,),IF(AR48&lt;&gt;"",VLOOKUP(AR48,INDIRECT(SUBSTITUTE($J48," ","")&amp;"Manufactures"),3,0),"Требуется код страны"))</f>
        <v>American Needle, Inc; 1275 Busch Parkway, Buffalo Grove, IL 60089, USA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4.6000000000000005</v>
      </c>
      <c r="AX48" s="43">
        <f t="shared" si="5"/>
        <v>6.9000000000000012</v>
      </c>
      <c r="AY48" s="155">
        <v>10.625</v>
      </c>
      <c r="AZ48" s="156">
        <f t="shared" si="6"/>
        <v>488.75</v>
      </c>
      <c r="BA48" s="45">
        <f>IF(A48&lt;&gt;"",IF(_xlfn.XLOOKUP(A48,'1C'!A:A,'1C'!A:A,0,0)&gt;0,1,0),"")</f>
        <v>0</v>
      </c>
      <c r="BB48" s="149">
        <f>IF(C48&lt;&gt;"",IF(_xlfn.XLOOKUP(C48,'1C'!S:S,'1C'!S:S,0,0)&gt;0,0,1),"")</f>
        <v>0</v>
      </c>
      <c r="BC48" s="73">
        <f t="shared" si="7"/>
        <v>1</v>
      </c>
    </row>
    <row r="49" spans="1:55" ht="119.65" customHeight="1">
      <c r="A49" s="43" t="str">
        <f t="shared" si="0"/>
        <v>21005A-MMARivyory-maroon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06-368-17</v>
      </c>
      <c r="C49" s="44" t="s">
        <v>2088</v>
      </c>
      <c r="D49" s="43" t="str">
        <f>VLOOKUP(C49,Names!A:B,2,0)</f>
        <v>Montreal Maroons Archive Legend NHL</v>
      </c>
      <c r="E49" s="43" t="str">
        <f>IF(F49&lt;&gt;"",IFERROR(VLOOKUP(F49,Категории!A:B,2,0),""),"Требуется категория")</f>
        <v>Бейсболки</v>
      </c>
      <c r="F49" s="44" t="s">
        <v>2315</v>
      </c>
      <c r="G49" s="63" t="s">
        <v>884</v>
      </c>
      <c r="H49" s="44" t="s">
        <v>388</v>
      </c>
      <c r="J49" s="43" t="str">
        <f>'1C'!$AF$1</f>
        <v>American Needle</v>
      </c>
      <c r="K49" s="104" t="s">
        <v>2272</v>
      </c>
      <c r="L49" s="63" t="s">
        <v>106</v>
      </c>
      <c r="M49" s="66"/>
      <c r="N49" s="141" t="str">
        <f>Order!B47</f>
        <v>60% Полиэстер - 40% Шерсть</v>
      </c>
      <c r="O49" s="65"/>
      <c r="P49" s="63" t="s">
        <v>44</v>
      </c>
      <c r="Q49" s="59" t="s">
        <v>15</v>
      </c>
      <c r="R49" s="58" t="s">
        <v>382</v>
      </c>
      <c r="S49" s="58">
        <v>18</v>
      </c>
      <c r="V49" s="58"/>
      <c r="X49" s="58"/>
      <c r="Z49" s="58"/>
      <c r="AB49" s="58"/>
      <c r="AD49" s="58"/>
      <c r="AQ49" s="59">
        <f t="shared" si="1"/>
        <v>18</v>
      </c>
      <c r="AR49" s="66" t="str">
        <f>Order!A47</f>
        <v>CN</v>
      </c>
      <c r="AS49" s="56" t="str">
        <f ca="1">IF(BA49&gt;0,_xlfn.XLOOKUP(A49,'1C'!$A:$A,'1C'!P:P,"",0,),IF(AR49&lt;&gt;"",VLOOKUP(AR49,INDIRECT(SUBSTITUTE($J49," ","")&amp;"Manufactures"),3,0),"Требуется код страны"))</f>
        <v>American Needle, Inc; 1275 Busch Parkway, Buffalo Grove, IL 60089, USA</v>
      </c>
      <c r="AT49" s="56" t="str">
        <f ca="1">IF(BA49&gt;0,_xlfn.XLOOKUP(A49,'1C'!$A:$A,'1C'!O:O,"",0),IF(AR49&lt;&gt;"",VLOOKUP(AR49,INDIRECT(SUBSTITUTE($J49," ","")&amp;"Manufactures"),2,0),"Требуется код страны"))</f>
        <v>Китай</v>
      </c>
      <c r="AU49" s="76">
        <f t="shared" si="2"/>
        <v>0.1</v>
      </c>
      <c r="AV49" s="43">
        <f t="shared" si="3"/>
        <v>0.15000000000000002</v>
      </c>
      <c r="AW49" s="43">
        <f t="shared" si="4"/>
        <v>1.8</v>
      </c>
      <c r="AX49" s="43">
        <f t="shared" si="5"/>
        <v>2.7</v>
      </c>
      <c r="AY49" s="155">
        <v>13.387777777777778</v>
      </c>
      <c r="AZ49" s="156">
        <f t="shared" si="6"/>
        <v>240.98000000000002</v>
      </c>
      <c r="BA49" s="45">
        <f>IF(A49&lt;&gt;"",IF(_xlfn.XLOOKUP(A49,'1C'!A:A,'1C'!A:A,0,0)&gt;0,1,0),"")</f>
        <v>0</v>
      </c>
      <c r="BB49" s="149">
        <f>IF(C49&lt;&gt;"",IF(_xlfn.XLOOKUP(C49,'1C'!S:S,'1C'!S:S,0,0)&gt;0,0,1),"")</f>
        <v>0</v>
      </c>
      <c r="BC49" s="73">
        <f t="shared" si="7"/>
        <v>1</v>
      </c>
    </row>
    <row r="50" spans="1:55" ht="124.7" customHeight="1">
      <c r="A50" s="43" t="str">
        <f t="shared" si="0"/>
        <v>21005A-NBYblack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06-369-09</v>
      </c>
      <c r="C50" s="44" t="s">
        <v>2089</v>
      </c>
      <c r="D50" s="43" t="str">
        <f>VLOOKUP(C50,Names!A:B,2,0)</f>
        <v>NY BLACK YANKEES Archive Legend NL</v>
      </c>
      <c r="E50" s="43" t="str">
        <f>IF(F50&lt;&gt;"",IFERROR(VLOOKUP(F50,Категории!A:B,2,0),""),"Требуется категория")</f>
        <v>Бейсболки</v>
      </c>
      <c r="F50" s="44" t="s">
        <v>2315</v>
      </c>
      <c r="G50" s="63" t="s">
        <v>884</v>
      </c>
      <c r="H50" s="44" t="s">
        <v>388</v>
      </c>
      <c r="J50" s="43" t="str">
        <f>'1C'!$AF$1</f>
        <v>American Needle</v>
      </c>
      <c r="K50" s="104" t="s">
        <v>819</v>
      </c>
      <c r="L50" s="59" t="str">
        <f>IF(K50&lt;&gt;"",IFERROR(VLOOKUP(A50,'1C'!A:T,8,0),IFERROR(VLOOKUP(K50,Colors!D:E,2,0),"")),"")</f>
        <v>черный</v>
      </c>
      <c r="M50" s="145" t="str">
        <f>IF(K50&lt;&gt;"",IFERROR(VLOOKUP(A50,'1C'!A:T,18,0),IFERROR(VLOOKUP(K50,Colors!D:E,2,0),"")),"")</f>
        <v>черный</v>
      </c>
      <c r="N50" s="141" t="str">
        <f>Order!B48</f>
        <v>60% Полиэстер - 40% Шерсть</v>
      </c>
      <c r="O50" s="65"/>
      <c r="P50" s="63" t="s">
        <v>44</v>
      </c>
      <c r="Q50" s="59" t="s">
        <v>15</v>
      </c>
      <c r="R50" s="58" t="s">
        <v>382</v>
      </c>
      <c r="S50" s="58">
        <v>15</v>
      </c>
      <c r="V50" s="58"/>
      <c r="X50" s="58"/>
      <c r="Z50" s="58"/>
      <c r="AB50" s="58"/>
      <c r="AD50" s="58"/>
      <c r="AQ50" s="59">
        <f t="shared" si="1"/>
        <v>15</v>
      </c>
      <c r="AR50" s="66" t="str">
        <f>Order!A48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American Needle, Inc; 1275 Busch Parkway, Buffalo Grove, IL 60089, USA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1.5</v>
      </c>
      <c r="AX50" s="43">
        <f t="shared" si="5"/>
        <v>2.2500000000000004</v>
      </c>
      <c r="AY50" s="155">
        <v>10.625333333333334</v>
      </c>
      <c r="AZ50" s="156">
        <f t="shared" si="6"/>
        <v>159.38</v>
      </c>
      <c r="BA50" s="45">
        <f>IF(A50&lt;&gt;"",IF(_xlfn.XLOOKUP(A50,'1C'!A:A,'1C'!A:A,0,0)&gt;0,1,0),"")</f>
        <v>0</v>
      </c>
      <c r="BB50" s="149">
        <f>IF(C50&lt;&gt;"",IF(_xlfn.XLOOKUP(C50,'1C'!S:S,'1C'!S:S,0,0)&gt;0,0,1),"")</f>
        <v>0</v>
      </c>
      <c r="BC50" s="73">
        <f t="shared" si="7"/>
        <v>1</v>
      </c>
    </row>
    <row r="51" spans="1:55" ht="119.65" customHeight="1">
      <c r="A51" s="43" t="str">
        <f t="shared" si="0"/>
        <v>21005A-NHLblack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06-370-09</v>
      </c>
      <c r="C51" s="44" t="s">
        <v>2090</v>
      </c>
      <c r="D51" s="43" t="str">
        <f>VLOOKUP(C51,Names!A:B,2,0)</f>
        <v>NHL Archive Legend NHL</v>
      </c>
      <c r="E51" s="43" t="str">
        <f>IF(F51&lt;&gt;"",IFERROR(VLOOKUP(F51,Категории!A:B,2,0),""),"Требуется категория")</f>
        <v>Бейсболки</v>
      </c>
      <c r="F51" s="44" t="s">
        <v>2315</v>
      </c>
      <c r="G51" s="63" t="s">
        <v>884</v>
      </c>
      <c r="H51" s="44" t="s">
        <v>388</v>
      </c>
      <c r="J51" s="43" t="str">
        <f>'1C'!$AF$1</f>
        <v>American Needle</v>
      </c>
      <c r="K51" s="104" t="s">
        <v>819</v>
      </c>
      <c r="L51" s="59" t="str">
        <f>IF(K51&lt;&gt;"",IFERROR(VLOOKUP(A51,'1C'!A:T,8,0),IFERROR(VLOOKUP(K51,Colors!D:E,2,0),"")),"")</f>
        <v>черный</v>
      </c>
      <c r="M51" s="145" t="str">
        <f>IF(K51&lt;&gt;"",IFERROR(VLOOKUP(A51,'1C'!A:T,18,0),IFERROR(VLOOKUP(K51,Colors!D:E,2,0),"")),"")</f>
        <v>черный</v>
      </c>
      <c r="N51" s="141" t="str">
        <f>Order!B49</f>
        <v>60% Полиэстер - 40% Шерсть</v>
      </c>
      <c r="O51" s="65"/>
      <c r="P51" s="63" t="s">
        <v>44</v>
      </c>
      <c r="Q51" s="59" t="s">
        <v>15</v>
      </c>
      <c r="R51" s="58" t="s">
        <v>382</v>
      </c>
      <c r="S51" s="58">
        <v>12</v>
      </c>
      <c r="V51" s="58"/>
      <c r="X51" s="58"/>
      <c r="Z51" s="58"/>
      <c r="AB51" s="58"/>
      <c r="AD51" s="58"/>
      <c r="AQ51" s="59">
        <f t="shared" si="1"/>
        <v>12</v>
      </c>
      <c r="AR51" s="66" t="str">
        <f>Order!A49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American Needle, Inc; 1275 Busch Parkway, Buffalo Grove, IL 60089, USA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1.2000000000000002</v>
      </c>
      <c r="AX51" s="43">
        <f t="shared" si="5"/>
        <v>1.8000000000000003</v>
      </c>
      <c r="AY51" s="155">
        <v>13.387500000000001</v>
      </c>
      <c r="AZ51" s="156">
        <f t="shared" si="6"/>
        <v>160.65</v>
      </c>
      <c r="BA51" s="45">
        <f>IF(A51&lt;&gt;"",IF(_xlfn.XLOOKUP(A51,'1C'!A:A,'1C'!A:A,0,0)&gt;0,1,0),"")</f>
        <v>0</v>
      </c>
      <c r="BB51" s="149">
        <f>IF(C51&lt;&gt;"",IF(_xlfn.XLOOKUP(C51,'1C'!S:S,'1C'!S:S,0,0)&gt;0,0,1),"")</f>
        <v>0</v>
      </c>
      <c r="BC51" s="73">
        <f t="shared" si="7"/>
        <v>1</v>
      </c>
    </row>
    <row r="52" spans="1:55" ht="119.65" customHeight="1">
      <c r="A52" s="43" t="str">
        <f t="shared" si="0"/>
        <v>21005A-NYCnavy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06-154-16</v>
      </c>
      <c r="C52" s="44" t="s">
        <v>2091</v>
      </c>
      <c r="D52" s="43" t="str">
        <f>IF(A52&lt;&gt;"",_xlfn.XLOOKUP(C52,'1C'!S:S,'1C'!T:T,"",0),"")</f>
        <v>New York Cubans Archive NL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</v>
      </c>
      <c r="G52" s="56" t="str">
        <f>IF(C52&lt;&gt;"",IF(BA52&gt;0,_xlfn.XLOOKUP(A52,'1C'!A:A,'1C'!L:L,"",0),_xlfn.XLOOKUP(C52,'1C'!S:S,'1C'!L:L,"",0)),"")</f>
        <v>Sport</v>
      </c>
      <c r="H52" s="43" t="str">
        <f>IF(A52&lt;&gt;"",_xlfn.XLOOKUP(A52,'1C'!A:A,'1C'!M:M,_xlfn.XLOOKUP(C52,'1C'!S:S,'1C'!M:M,"",0),0))</f>
        <v>всесезон</v>
      </c>
      <c r="J52" s="43" t="str">
        <f>'1C'!$AF$1</f>
        <v>American Needle</v>
      </c>
      <c r="K52" s="104" t="s">
        <v>818</v>
      </c>
      <c r="L52" s="59" t="str">
        <f>IF(K52&lt;&gt;"",IFERROR(VLOOKUP(A52,'1C'!A:T,8,0),IFERROR(VLOOKUP(K52,Colors!D:E,2,0),"")),"")</f>
        <v>темно-синий</v>
      </c>
      <c r="M52" s="145" t="str">
        <f>IF(K52&lt;&gt;"",IFERROR(VLOOKUP(A52,'1C'!A:T,18,0),IFERROR(VLOOKUP(K52,Colors!D:E,2,0),"")),"")</f>
        <v>синий</v>
      </c>
      <c r="N52" s="146" t="str">
        <f>IF(A52&lt;&gt;"",_xlfn.XLOOKUP(A52,'1C'!A:A,'1C'!I:I,_xlfn.XLOOKUP(C52,'1C'!S:S,'1C'!I:I,"",0),0),"")</f>
        <v>60% полиэстер - 40% шерсть</v>
      </c>
      <c r="O52" s="65"/>
      <c r="P52" s="56" t="str">
        <f>IF(A52&lt;&gt;"",_xlfn.XLOOKUP(A52,'1C'!A:A,'1C'!N:N,_xlfn.XLOOKUP(C52,'1C'!S:S,'1C'!N:N,"",0),0),"")</f>
        <v>шерстяные</v>
      </c>
      <c r="Q52" s="59" t="s">
        <v>15</v>
      </c>
      <c r="R52" s="59" t="str">
        <f>IF(A52&lt;&gt;"",_xlfn.XLOOKUP(A52,'1C'!A:A,'1C'!K:K,_xlfn.XLOOKUP(C52,'1C'!S:S,'1C'!K:K,"",0),0),"")</f>
        <v>Унисекс</v>
      </c>
      <c r="S52" s="58">
        <v>54</v>
      </c>
      <c r="V52" s="58"/>
      <c r="X52" s="58"/>
      <c r="Z52" s="58"/>
      <c r="AB52" s="58"/>
      <c r="AD52" s="58"/>
      <c r="AQ52" s="59">
        <f t="shared" si="1"/>
        <v>54</v>
      </c>
      <c r="AR52" s="148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American Needle, Inc; 1275 Busch Parkway, Buffalo Grove, IL 60089, USA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5.4</v>
      </c>
      <c r="AX52" s="43">
        <f t="shared" si="5"/>
        <v>8.1000000000000014</v>
      </c>
      <c r="AY52" s="155">
        <v>10.625</v>
      </c>
      <c r="AZ52" s="156">
        <f t="shared" si="6"/>
        <v>573.75</v>
      </c>
      <c r="BA52" s="45">
        <f>IF(A52&lt;&gt;"",IF(_xlfn.XLOOKUP(A52,'1C'!A:A,'1C'!A:A,0,0)&gt;0,1,0),"")</f>
        <v>1</v>
      </c>
      <c r="BB52" s="149">
        <f>IF(C52&lt;&gt;"",IF(_xlfn.XLOOKUP(C52,'1C'!S:S,'1C'!S:S,0,0)&gt;0,0,1),"")</f>
        <v>0</v>
      </c>
      <c r="BC52" s="73">
        <f t="shared" si="7"/>
        <v>0</v>
      </c>
    </row>
    <row r="53" spans="1:55" ht="119.65" customHeight="1">
      <c r="A53" s="43" t="str">
        <f t="shared" si="0"/>
        <v>21005A-SAFnavy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06-156-16</v>
      </c>
      <c r="C53" s="44" t="s">
        <v>2092</v>
      </c>
      <c r="D53" s="43" t="str">
        <f>IF(A53&lt;&gt;"",_xlfn.XLOOKUP(C53,'1C'!S:S,'1C'!T:T,"",0),"")</f>
        <v>San Francisco Seals Archive MILB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</v>
      </c>
      <c r="G53" s="56" t="str">
        <f>IF(C53&lt;&gt;"",IF(BA53&gt;0,_xlfn.XLOOKUP(A53,'1C'!A:A,'1C'!L:L,"",0),_xlfn.XLOOKUP(C53,'1C'!S:S,'1C'!L:L,"",0)),"")</f>
        <v>Sport</v>
      </c>
      <c r="H53" s="43" t="str">
        <f>IF(A53&lt;&gt;"",_xlfn.XLOOKUP(A53,'1C'!A:A,'1C'!M:M,_xlfn.XLOOKUP(C53,'1C'!S:S,'1C'!M:M,"",0),0))</f>
        <v>всесезон</v>
      </c>
      <c r="J53" s="43" t="str">
        <f>'1C'!$AF$1</f>
        <v>American Needle</v>
      </c>
      <c r="K53" s="104" t="s">
        <v>818</v>
      </c>
      <c r="L53" s="59" t="str">
        <f>IF(K53&lt;&gt;"",IFERROR(VLOOKUP(A53,'1C'!A:T,8,0),IFERROR(VLOOKUP(K53,Colors!D:E,2,0),"")),"")</f>
        <v>темно-синий</v>
      </c>
      <c r="M53" s="145" t="str">
        <f>IF(K53&lt;&gt;"",IFERROR(VLOOKUP(A53,'1C'!A:T,18,0),IFERROR(VLOOKUP(K53,Colors!D:E,2,0),"")),"")</f>
        <v>синий</v>
      </c>
      <c r="N53" s="146" t="str">
        <f>IF(A53&lt;&gt;"",_xlfn.XLOOKUP(A53,'1C'!A:A,'1C'!I:I,_xlfn.XLOOKUP(C53,'1C'!S:S,'1C'!I:I,"",0),0),"")</f>
        <v>60% полиэстер - 40% шерсть</v>
      </c>
      <c r="O53" s="65"/>
      <c r="P53" s="56" t="str">
        <f>IF(A53&lt;&gt;"",_xlfn.XLOOKUP(A53,'1C'!A:A,'1C'!N:N,_xlfn.XLOOKUP(C53,'1C'!S:S,'1C'!N:N,"",0),0),"")</f>
        <v>шерстяные</v>
      </c>
      <c r="Q53" s="59" t="s">
        <v>15</v>
      </c>
      <c r="R53" s="59" t="str">
        <f>IF(A53&lt;&gt;"",_xlfn.XLOOKUP(A53,'1C'!A:A,'1C'!K:K,_xlfn.XLOOKUP(C53,'1C'!S:S,'1C'!K:K,"",0),0),"")</f>
        <v>Унисекс</v>
      </c>
      <c r="S53" s="58">
        <v>17</v>
      </c>
      <c r="V53" s="58"/>
      <c r="X53" s="58"/>
      <c r="Z53" s="58"/>
      <c r="AB53" s="58"/>
      <c r="AD53" s="58"/>
      <c r="AQ53" s="59">
        <f t="shared" si="1"/>
        <v>17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American Needle, Inc; 1275 Busch Parkway, Buffalo Grove, IL 60089, USA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1.7000000000000002</v>
      </c>
      <c r="AX53" s="43">
        <f t="shared" si="5"/>
        <v>2.5500000000000003</v>
      </c>
      <c r="AY53" s="155">
        <v>10.625294117647059</v>
      </c>
      <c r="AZ53" s="156">
        <f t="shared" si="6"/>
        <v>180.63</v>
      </c>
      <c r="BA53" s="45">
        <f>IF(A53&lt;&gt;"",IF(_xlfn.XLOOKUP(A53,'1C'!A:A,'1C'!A:A,0,0)&gt;0,1,0),"")</f>
        <v>1</v>
      </c>
      <c r="BB53" s="149">
        <f>IF(C53&lt;&gt;"",IF(_xlfn.XLOOKUP(C53,'1C'!S:S,'1C'!S:S,0,0)&gt;0,0,1),"")</f>
        <v>0</v>
      </c>
      <c r="BC53" s="73">
        <f t="shared" si="7"/>
        <v>0</v>
      </c>
    </row>
    <row r="54" spans="1:55" ht="124.7" customHeight="1">
      <c r="A54" s="43" t="str">
        <f t="shared" si="0"/>
        <v>21005A-STEnavy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06-158-16</v>
      </c>
      <c r="C54" s="44" t="s">
        <v>2093</v>
      </c>
      <c r="D54" s="43" t="str">
        <f>IF(A54&lt;&gt;"",_xlfn.XLOOKUP(C54,'1C'!S:S,'1C'!T:T,"",0),"")</f>
        <v>Saint Louis Terriers Archive MILB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</v>
      </c>
      <c r="G54" s="56" t="str">
        <f>IF(C54&lt;&gt;"",IF(BA54&gt;0,_xlfn.XLOOKUP(A54,'1C'!A:A,'1C'!L:L,"",0),_xlfn.XLOOKUP(C54,'1C'!S:S,'1C'!L:L,"",0)),"")</f>
        <v>Sport</v>
      </c>
      <c r="H54" s="43" t="str">
        <f>IF(A54&lt;&gt;"",_xlfn.XLOOKUP(A54,'1C'!A:A,'1C'!M:M,_xlfn.XLOOKUP(C54,'1C'!S:S,'1C'!M:M,"",0),0))</f>
        <v>всесезон</v>
      </c>
      <c r="J54" s="43" t="str">
        <f>'1C'!$AF$1</f>
        <v>American Needle</v>
      </c>
      <c r="K54" s="104" t="s">
        <v>818</v>
      </c>
      <c r="L54" s="59" t="str">
        <f>IF(K54&lt;&gt;"",IFERROR(VLOOKUP(A54,'1C'!A:T,8,0),IFERROR(VLOOKUP(K54,Colors!D:E,2,0),"")),"")</f>
        <v>темно-синий</v>
      </c>
      <c r="M54" s="145" t="str">
        <f>IF(K54&lt;&gt;"",IFERROR(VLOOKUP(A54,'1C'!A:T,18,0),IFERROR(VLOOKUP(K54,Colors!D:E,2,0),"")),"")</f>
        <v>синий</v>
      </c>
      <c r="N54" s="146" t="str">
        <f>IF(A54&lt;&gt;"",_xlfn.XLOOKUP(A54,'1C'!A:A,'1C'!I:I,_xlfn.XLOOKUP(C54,'1C'!S:S,'1C'!I:I,"",0),0),"")</f>
        <v>60% полиэстер - 40% шерсть</v>
      </c>
      <c r="O54" s="65"/>
      <c r="P54" s="56" t="str">
        <f>IF(A54&lt;&gt;"",_xlfn.XLOOKUP(A54,'1C'!A:A,'1C'!N:N,_xlfn.XLOOKUP(C54,'1C'!S:S,'1C'!N:N,"",0),0),"")</f>
        <v>шерстяные</v>
      </c>
      <c r="Q54" s="59" t="s">
        <v>15</v>
      </c>
      <c r="R54" s="59" t="str">
        <f>IF(A54&lt;&gt;"",_xlfn.XLOOKUP(A54,'1C'!A:A,'1C'!K:K,_xlfn.XLOOKUP(C54,'1C'!S:S,'1C'!K:K,"",0),0),"")</f>
        <v>Унисекс</v>
      </c>
      <c r="S54" s="58">
        <v>17</v>
      </c>
      <c r="V54" s="58"/>
      <c r="X54" s="58"/>
      <c r="Z54" s="58"/>
      <c r="AB54" s="58"/>
      <c r="AD54" s="58"/>
      <c r="AQ54" s="59">
        <f t="shared" si="1"/>
        <v>17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American Needle, Inc; 1275 Busch Parkway, Buffalo Grove, IL 60089, USA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1.7000000000000002</v>
      </c>
      <c r="AX54" s="43">
        <f t="shared" si="5"/>
        <v>2.5500000000000003</v>
      </c>
      <c r="AY54" s="155">
        <v>10.625294117647059</v>
      </c>
      <c r="AZ54" s="156">
        <f t="shared" si="6"/>
        <v>180.63</v>
      </c>
      <c r="BA54" s="45">
        <f>IF(A54&lt;&gt;"",IF(_xlfn.XLOOKUP(A54,'1C'!A:A,'1C'!A:A,0,0)&gt;0,1,0),"")</f>
        <v>1</v>
      </c>
      <c r="BB54" s="149">
        <f>IF(C54&lt;&gt;"",IF(_xlfn.XLOOKUP(C54,'1C'!S:S,'1C'!S:S,0,0)&gt;0,0,1),"")</f>
        <v>0</v>
      </c>
      <c r="BC54" s="73">
        <f t="shared" si="7"/>
        <v>0</v>
      </c>
    </row>
    <row r="55" spans="1:55" ht="119.65" customHeight="1">
      <c r="A55" s="43" t="str">
        <f t="shared" si="0"/>
        <v>21005A-WHAivory-navy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06-159-70</v>
      </c>
      <c r="C55" s="44" t="s">
        <v>2094</v>
      </c>
      <c r="D55" s="43" t="str">
        <f>IF(A55&lt;&gt;"",_xlfn.XLOOKUP(C55,'1C'!S:S,'1C'!T:T,"",0),"")</f>
        <v>Chicago Whales Archive MILB</v>
      </c>
      <c r="E55" s="43" t="str">
        <f>IF(F55&lt;&gt;"",IFERROR(VLOOKUP(F55,Категории!A:B,2,0),""),"Требуется категория")</f>
        <v>Бейсболки</v>
      </c>
      <c r="F55" s="43" t="str">
        <f>IF(A55&lt;&gt;"",IF(BA55&gt;0,_xlfn.XLOOKUP(A55,'1C'!A:A,'1C'!J:J,"",0),_xlfn.XLOOKUP(C55,'1C'!S:S,'1C'!J:J,"",0)),"")</f>
        <v>Бейсболка</v>
      </c>
      <c r="G55" s="56" t="str">
        <f>IF(C55&lt;&gt;"",IF(BA55&gt;0,_xlfn.XLOOKUP(A55,'1C'!A:A,'1C'!L:L,"",0),_xlfn.XLOOKUP(C55,'1C'!S:S,'1C'!L:L,"",0)),"")</f>
        <v>Sport</v>
      </c>
      <c r="H55" s="43" t="str">
        <f>IF(A55&lt;&gt;"",_xlfn.XLOOKUP(A55,'1C'!A:A,'1C'!M:M,_xlfn.XLOOKUP(C55,'1C'!S:S,'1C'!M:M,"",0),0))</f>
        <v>всесезон</v>
      </c>
      <c r="J55" s="43" t="str">
        <f>'1C'!$AF$1</f>
        <v>American Needle</v>
      </c>
      <c r="K55" s="104" t="s">
        <v>1411</v>
      </c>
      <c r="L55" s="56" t="str">
        <f>IF(K55&lt;&gt;"",IFERROR(VLOOKUP(A55,'1C'!A:T,8,0),IFERROR(VLOOKUP(K55,Colors!D:E,2,0),"")),"")</f>
        <v>белый / темно-синий</v>
      </c>
      <c r="M55" s="145" t="str">
        <f>IF(K55&lt;&gt;"",IFERROR(VLOOKUP(A55,'1C'!A:T,18,0),IFERROR(VLOOKUP(K55,Colors!D:E,2,0),"")),"")</f>
        <v>белый</v>
      </c>
      <c r="N55" s="146" t="str">
        <f>IF(A55&lt;&gt;"",_xlfn.XLOOKUP(A55,'1C'!A:A,'1C'!I:I,_xlfn.XLOOKUP(C55,'1C'!S:S,'1C'!I:I,"",0),0),"")</f>
        <v>60% полиэстер - 40% шерсть</v>
      </c>
      <c r="O55" s="65"/>
      <c r="P55" s="56" t="str">
        <f>IF(A55&lt;&gt;"",_xlfn.XLOOKUP(A55,'1C'!A:A,'1C'!N:N,_xlfn.XLOOKUP(C55,'1C'!S:S,'1C'!N:N,"",0),0),"")</f>
        <v>шерстяные</v>
      </c>
      <c r="Q55" s="59" t="s">
        <v>15</v>
      </c>
      <c r="R55" s="59" t="str">
        <f>IF(A55&lt;&gt;"",_xlfn.XLOOKUP(A55,'1C'!A:A,'1C'!K:K,_xlfn.XLOOKUP(C55,'1C'!S:S,'1C'!K:K,"",0),0),"")</f>
        <v>Унисекс</v>
      </c>
      <c r="S55" s="58">
        <v>17</v>
      </c>
      <c r="V55" s="58"/>
      <c r="X55" s="58"/>
      <c r="Z55" s="58"/>
      <c r="AB55" s="58"/>
      <c r="AD55" s="58"/>
      <c r="AQ55" s="59">
        <f t="shared" si="1"/>
        <v>17</v>
      </c>
      <c r="AR55" s="43" t="str">
        <f>IF(A55&lt;&gt;"",_xlfn.XLOOKUP(_xlfn.XLOOKUP(A55,'1C'!A:A,'1C'!O:O,_xlfn.XLOOKUP(C55,'1C'!S:S,'1C'!O:O,"",0),0),Settings!N:N,Settings!O:O,"",0),"")</f>
        <v>CN</v>
      </c>
      <c r="AS55" s="56" t="str">
        <f ca="1">IF(BA55&gt;0,_xlfn.XLOOKUP(A55,'1C'!$A:$A,'1C'!P:P,"",0,),IF(AR55&lt;&gt;"",VLOOKUP(AR55,INDIRECT(SUBSTITUTE($J55," ","")&amp;"Manufactures"),3,0),"Требуется код страны"))</f>
        <v>American Needle, Inc; 1275 Busch Parkway, Buffalo Grove, IL 60089, USA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1.7000000000000002</v>
      </c>
      <c r="AX55" s="43">
        <f t="shared" si="5"/>
        <v>2.5500000000000003</v>
      </c>
      <c r="AY55" s="155">
        <v>10.625294117647059</v>
      </c>
      <c r="AZ55" s="156">
        <f t="shared" si="6"/>
        <v>180.63</v>
      </c>
      <c r="BA55" s="45">
        <f>IF(A55&lt;&gt;"",IF(_xlfn.XLOOKUP(A55,'1C'!A:A,'1C'!A:A,0,0)&gt;0,1,0),"")</f>
        <v>1</v>
      </c>
      <c r="BB55" s="149">
        <f>IF(C55&lt;&gt;"",IF(_xlfn.XLOOKUP(C55,'1C'!S:S,'1C'!S:S,0,0)&gt;0,0,1),"")</f>
        <v>0</v>
      </c>
      <c r="BC55" s="73">
        <f t="shared" si="7"/>
        <v>0</v>
      </c>
    </row>
    <row r="56" spans="1:55" ht="128.65" customHeight="1">
      <c r="A56" s="43" t="str">
        <f t="shared" si="0"/>
        <v>21005C-LOSroyal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06-371-06</v>
      </c>
      <c r="C56" s="44" t="s">
        <v>2095</v>
      </c>
      <c r="D56" s="43" t="str">
        <f>VLOOKUP(C56,Names!A:B,2,0)</f>
        <v>LA ANGELS Archive Legend MILB</v>
      </c>
      <c r="E56" s="43" t="str">
        <f>IF(F56&lt;&gt;"",IFERROR(VLOOKUP(F56,Категории!A:B,2,0),""),"Требуется категория")</f>
        <v>Бейсболки</v>
      </c>
      <c r="F56" s="44" t="s">
        <v>2315</v>
      </c>
      <c r="G56" s="63" t="s">
        <v>884</v>
      </c>
      <c r="H56" s="44" t="s">
        <v>388</v>
      </c>
      <c r="J56" s="43" t="str">
        <f>'1C'!$AF$1</f>
        <v>American Needle</v>
      </c>
      <c r="K56" s="104" t="s">
        <v>1576</v>
      </c>
      <c r="L56" s="63" t="s">
        <v>71</v>
      </c>
      <c r="M56" s="66"/>
      <c r="N56" s="141" t="str">
        <f>Order!B54</f>
        <v>60% Полиэстер - 40% Шерсть</v>
      </c>
      <c r="O56" s="65"/>
      <c r="P56" s="63" t="s">
        <v>44</v>
      </c>
      <c r="Q56" s="59" t="s">
        <v>15</v>
      </c>
      <c r="R56" s="58" t="s">
        <v>382</v>
      </c>
      <c r="S56" s="58">
        <v>17</v>
      </c>
      <c r="V56" s="58"/>
      <c r="X56" s="58"/>
      <c r="Z56" s="58"/>
      <c r="AB56" s="58"/>
      <c r="AD56" s="58"/>
      <c r="AQ56" s="59">
        <f t="shared" si="1"/>
        <v>17</v>
      </c>
      <c r="AR56" s="66" t="str">
        <f>Order!A54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American Needle, Inc; 1275 Busch Parkway, Buffalo Grove, IL 60089, USA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1.7000000000000002</v>
      </c>
      <c r="AX56" s="43">
        <f t="shared" si="5"/>
        <v>2.5500000000000003</v>
      </c>
      <c r="AY56" s="155">
        <v>10.625294117647059</v>
      </c>
      <c r="AZ56" s="156">
        <f t="shared" si="6"/>
        <v>180.63</v>
      </c>
      <c r="BA56" s="45">
        <f>IF(A56&lt;&gt;"",IF(_xlfn.XLOOKUP(A56,'1C'!A:A,'1C'!A:A,0,0)&gt;0,1,0),"")</f>
        <v>0</v>
      </c>
      <c r="BB56" s="149">
        <f>IF(C56&lt;&gt;"",IF(_xlfn.XLOOKUP(C56,'1C'!S:S,'1C'!S:S,0,0)&gt;0,0,1),"")</f>
        <v>0</v>
      </c>
      <c r="BC56" s="73">
        <f t="shared" si="7"/>
        <v>1</v>
      </c>
    </row>
    <row r="57" spans="1:55" ht="144" customHeight="1">
      <c r="A57" s="43" t="str">
        <f t="shared" si="0"/>
        <v>21006A-LOSNavy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06-163-16</v>
      </c>
      <c r="C57" s="44" t="s">
        <v>2096</v>
      </c>
      <c r="D57" s="43" t="str">
        <f>IF(A57&lt;&gt;"",_xlfn.XLOOKUP(C57,'1C'!S:S,'1C'!T:T,"",0),"")</f>
        <v>Los Angeles Angels Archive 400 MILB</v>
      </c>
      <c r="E57" s="43" t="str">
        <f>IF(F57&lt;&gt;"",IFERROR(VLOOKUP(F57,Категории!A:B,2,0),""),"Требуется категория")</f>
        <v>Бейсболки</v>
      </c>
      <c r="F57" s="43" t="str">
        <f>IF(A57&lt;&gt;"",IF(BA57&gt;0,_xlfn.XLOOKUP(A57,'1C'!A:A,'1C'!J:J,"",0),_xlfn.XLOOKUP(C57,'1C'!S:S,'1C'!J:J,"",0)),"")</f>
        <v>Бейсболка с прямым козырьком</v>
      </c>
      <c r="G57" s="56" t="str">
        <f>IF(C57&lt;&gt;"",IF(BA57&gt;0,_xlfn.XLOOKUP(A57,'1C'!A:A,'1C'!L:L,"",0),_xlfn.XLOOKUP(C57,'1C'!S:S,'1C'!L:L,"",0)),"")</f>
        <v>Sport</v>
      </c>
      <c r="H57" s="43" t="str">
        <f>IF(A57&lt;&gt;"",_xlfn.XLOOKUP(A57,'1C'!A:A,'1C'!M:M,_xlfn.XLOOKUP(C57,'1C'!S:S,'1C'!M:M,"",0),0))</f>
        <v>всесезон</v>
      </c>
      <c r="J57" s="43" t="str">
        <f>'1C'!$AF$1</f>
        <v>American Needle</v>
      </c>
      <c r="K57" s="104" t="s">
        <v>54</v>
      </c>
      <c r="L57" s="56" t="str">
        <f>IF(K57&lt;&gt;"",IFERROR(VLOOKUP(A57,'1C'!A:T,8,0),IFERROR(VLOOKUP(K57,Colors!D:E,2,0),"")),"")</f>
        <v>темно-синий</v>
      </c>
      <c r="M57" s="145" t="str">
        <f>IF(K57&lt;&gt;"",IFERROR(VLOOKUP(A57,'1C'!A:T,18,0),IFERROR(VLOOKUP(K57,Colors!D:E,2,0),"")),"")</f>
        <v>синий</v>
      </c>
      <c r="N57" s="146" t="str">
        <f>IF(A57&lt;&gt;"",_xlfn.XLOOKUP(A57,'1C'!A:A,'1C'!I:I,_xlfn.XLOOKUP(C57,'1C'!S:S,'1C'!I:I,"",0),0),"")</f>
        <v>80% акрил - 20% шерсть</v>
      </c>
      <c r="O57" s="65"/>
      <c r="P57" s="56" t="str">
        <f>IF(A57&lt;&gt;"",_xlfn.XLOOKUP(A57,'1C'!A:A,'1C'!N:N,_xlfn.XLOOKUP(C57,'1C'!S:S,'1C'!N:N,"",0),0),"")</f>
        <v>шерстяные</v>
      </c>
      <c r="Q57" s="59" t="s">
        <v>15</v>
      </c>
      <c r="R57" s="59" t="str">
        <f>IF(A57&lt;&gt;"",_xlfn.XLOOKUP(A57,'1C'!A:A,'1C'!K:K,_xlfn.XLOOKUP(C57,'1C'!S:S,'1C'!K:K,"",0),0),"")</f>
        <v>Унисекс</v>
      </c>
      <c r="S57" s="58">
        <v>6</v>
      </c>
      <c r="V57" s="58"/>
      <c r="X57" s="58"/>
      <c r="Z57" s="58"/>
      <c r="AB57" s="58"/>
      <c r="AD57" s="58"/>
      <c r="AQ57" s="59">
        <f t="shared" si="1"/>
        <v>6</v>
      </c>
      <c r="AR57" s="43" t="str">
        <f>IF(A57&lt;&gt;"",_xlfn.XLOOKUP(_xlfn.XLOOKUP(A57,'1C'!A:A,'1C'!O:O,_xlfn.XLOOKUP(C57,'1C'!S:S,'1C'!O:O,"",0),0),Settings!N:N,Settings!O:O,"",0),"")</f>
        <v>BD</v>
      </c>
      <c r="AS57" s="56" t="str">
        <f ca="1">IF(BA57&gt;0,_xlfn.XLOOKUP(A57,'1C'!$A:$A,'1C'!P:P,"",0,),IF(AR57&lt;&gt;"",VLOOKUP(AR57,INDIRECT(SUBSTITUTE($J57," ","")&amp;"Manufactures"),3,0),"Требуется код страны"))</f>
        <v>American Needle, Inc; 1275 Busch Parkway, Buffalo Grove, IL 60089, USA</v>
      </c>
      <c r="AT57" s="56" t="str">
        <f ca="1">IF(BA57&gt;0,_xlfn.XLOOKUP(A57,'1C'!$A:$A,'1C'!O:O,"",0),IF(AR57&lt;&gt;"",VLOOKUP(AR57,INDIRECT(SUBSTITUTE($J57," ","")&amp;"Manufactures"),2,0),"Требуется код страны"))</f>
        <v>Бангладеш</v>
      </c>
      <c r="AU57" s="76">
        <f t="shared" si="2"/>
        <v>0.1</v>
      </c>
      <c r="AV57" s="43">
        <f t="shared" si="3"/>
        <v>0.15000000000000002</v>
      </c>
      <c r="AW57" s="43">
        <f t="shared" si="4"/>
        <v>0.60000000000000009</v>
      </c>
      <c r="AX57" s="43">
        <f t="shared" si="5"/>
        <v>0.90000000000000013</v>
      </c>
      <c r="AY57" s="155">
        <v>9.7750000000000004</v>
      </c>
      <c r="AZ57" s="156">
        <f t="shared" si="6"/>
        <v>58.650000000000006</v>
      </c>
      <c r="BA57" s="45">
        <f>IF(A57&lt;&gt;"",IF(_xlfn.XLOOKUP(A57,'1C'!A:A,'1C'!A:A,0,0)&gt;0,1,0),"")</f>
        <v>1</v>
      </c>
      <c r="BB57" s="149">
        <f>IF(C57&lt;&gt;"",IF(_xlfn.XLOOKUP(C57,'1C'!S:S,'1C'!S:S,0,0)&gt;0,0,1),"")</f>
        <v>0</v>
      </c>
      <c r="BC57" s="73">
        <f t="shared" si="7"/>
        <v>0</v>
      </c>
    </row>
    <row r="58" spans="1:55" ht="110.65" customHeight="1">
      <c r="A58" s="43" t="str">
        <f t="shared" si="0"/>
        <v>21006A-NYCnavy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06-165-16</v>
      </c>
      <c r="C58" s="44" t="s">
        <v>2097</v>
      </c>
      <c r="D58" s="43" t="str">
        <f>IF(A58&lt;&gt;"",_xlfn.XLOOKUP(C58,'1C'!S:S,'1C'!T:T,"",0),"")</f>
        <v>New York Cubans Archive 400 NL</v>
      </c>
      <c r="E58" s="43" t="str">
        <f>IF(F58&lt;&gt;"",IFERROR(VLOOKUP(F58,Категории!A:B,2,0),""),"Требуется категория")</f>
        <v>Бейсболки</v>
      </c>
      <c r="F58" s="43" t="str">
        <f>IF(A58&lt;&gt;"",IF(BA58&gt;0,_xlfn.XLOOKUP(A58,'1C'!A:A,'1C'!J:J,"",0),_xlfn.XLOOKUP(C58,'1C'!S:S,'1C'!J:J,"",0)),"")</f>
        <v>Бейсболка с прямым козырьком</v>
      </c>
      <c r="G58" s="56" t="str">
        <f>IF(C58&lt;&gt;"",IF(BA58&gt;0,_xlfn.XLOOKUP(A58,'1C'!A:A,'1C'!L:L,"",0),_xlfn.XLOOKUP(C58,'1C'!S:S,'1C'!L:L,"",0)),"")</f>
        <v>Sport</v>
      </c>
      <c r="H58" s="43" t="str">
        <f>IF(A58&lt;&gt;"",_xlfn.XLOOKUP(A58,'1C'!A:A,'1C'!M:M,_xlfn.XLOOKUP(C58,'1C'!S:S,'1C'!M:M,"",0),0))</f>
        <v>всесезон</v>
      </c>
      <c r="J58" s="43" t="str">
        <f>'1C'!$AF$1</f>
        <v>American Needle</v>
      </c>
      <c r="K58" s="104" t="s">
        <v>818</v>
      </c>
      <c r="L58" s="56" t="str">
        <f>IF(K58&lt;&gt;"",IFERROR(VLOOKUP(A58,'1C'!A:T,8,0),IFERROR(VLOOKUP(K58,Colors!D:E,2,0),"")),"")</f>
        <v>темно-синий</v>
      </c>
      <c r="M58" s="145" t="str">
        <f>IF(K58&lt;&gt;"",IFERROR(VLOOKUP(A58,'1C'!A:T,18,0),IFERROR(VLOOKUP(K58,Colors!D:E,2,0),"")),"")</f>
        <v>синий</v>
      </c>
      <c r="N58" s="146" t="str">
        <f>IF(A58&lt;&gt;"",_xlfn.XLOOKUP(A58,'1C'!A:A,'1C'!I:I,_xlfn.XLOOKUP(C58,'1C'!S:S,'1C'!I:I,"",0),0),"")</f>
        <v>80% акрил - 20% шерсть</v>
      </c>
      <c r="O58" s="65"/>
      <c r="P58" s="56" t="str">
        <f>IF(A58&lt;&gt;"",_xlfn.XLOOKUP(A58,'1C'!A:A,'1C'!N:N,_xlfn.XLOOKUP(C58,'1C'!S:S,'1C'!N:N,"",0),0),"")</f>
        <v>шерстяные</v>
      </c>
      <c r="Q58" s="59" t="s">
        <v>15</v>
      </c>
      <c r="R58" s="59" t="str">
        <f>IF(A58&lt;&gt;"",_xlfn.XLOOKUP(A58,'1C'!A:A,'1C'!K:K,_xlfn.XLOOKUP(C58,'1C'!S:S,'1C'!K:K,"",0),0),"")</f>
        <v>Унисекс</v>
      </c>
      <c r="S58" s="58">
        <v>6</v>
      </c>
      <c r="V58" s="58"/>
      <c r="X58" s="58"/>
      <c r="Z58" s="58"/>
      <c r="AB58" s="58"/>
      <c r="AD58" s="58"/>
      <c r="AQ58" s="59">
        <f t="shared" si="1"/>
        <v>6</v>
      </c>
      <c r="AR58" s="43" t="str">
        <f>IF(A58&lt;&gt;"",_xlfn.XLOOKUP(_xlfn.XLOOKUP(A58,'1C'!A:A,'1C'!O:O,_xlfn.XLOOKUP(C58,'1C'!S:S,'1C'!O:O,"",0),0),Settings!N:N,Settings!O:O,"",0),"")</f>
        <v>BD</v>
      </c>
      <c r="AS58" s="56" t="str">
        <f ca="1">IF(BA58&gt;0,_xlfn.XLOOKUP(A58,'1C'!$A:$A,'1C'!P:P,"",0,),IF(AR58&lt;&gt;"",VLOOKUP(AR58,INDIRECT(SUBSTITUTE($J58," ","")&amp;"Manufactures"),3,0),"Требуется код страны"))</f>
        <v>American Needle, Inc; 1275 Busch Parkway, Buffalo Grove, IL 60089, USA</v>
      </c>
      <c r="AT58" s="56" t="str">
        <f ca="1">IF(BA58&gt;0,_xlfn.XLOOKUP(A58,'1C'!$A:$A,'1C'!O:O,"",0),IF(AR58&lt;&gt;"",VLOOKUP(AR58,INDIRECT(SUBSTITUTE($J58," ","")&amp;"Manufactures"),2,0),"Требуется код страны"))</f>
        <v>Бангладеш</v>
      </c>
      <c r="AU58" s="76">
        <f t="shared" si="2"/>
        <v>0.1</v>
      </c>
      <c r="AV58" s="43">
        <f t="shared" si="3"/>
        <v>0.15000000000000002</v>
      </c>
      <c r="AW58" s="43">
        <f t="shared" si="4"/>
        <v>0.60000000000000009</v>
      </c>
      <c r="AX58" s="43">
        <f t="shared" si="5"/>
        <v>0.90000000000000013</v>
      </c>
      <c r="AY58" s="155">
        <v>9.7750000000000004</v>
      </c>
      <c r="AZ58" s="156">
        <f t="shared" si="6"/>
        <v>58.650000000000006</v>
      </c>
      <c r="BA58" s="45">
        <f>IF(A58&lt;&gt;"",IF(_xlfn.XLOOKUP(A58,'1C'!A:A,'1C'!A:A,0,0)&gt;0,1,0),"")</f>
        <v>1</v>
      </c>
      <c r="BB58" s="149">
        <f>IF(C58&lt;&gt;"",IF(_xlfn.XLOOKUP(C58,'1C'!S:S,'1C'!S:S,0,0)&gt;0,0,1),"")</f>
        <v>0</v>
      </c>
      <c r="BC58" s="73">
        <f t="shared" si="7"/>
        <v>0</v>
      </c>
    </row>
    <row r="59" spans="1:55" ht="144" customHeight="1">
      <c r="A59" s="43" t="str">
        <f t="shared" si="0"/>
        <v>21010A-CHEVELLEIvory Black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06-372-72</v>
      </c>
      <c r="C59" s="44" t="s">
        <v>2098</v>
      </c>
      <c r="D59" s="43" t="str">
        <f>VLOOKUP(C59,Names!A:B,2,0)</f>
        <v>GM Chevelle VMoto Valin</v>
      </c>
      <c r="E59" s="43" t="str">
        <f>IF(F59&lt;&gt;"",IFERROR(VLOOKUP(F59,Категории!A:B,2,0),""),"Требуется категория")</f>
        <v>Бейсболки</v>
      </c>
      <c r="F59" s="44" t="s">
        <v>2316</v>
      </c>
      <c r="G59" s="63" t="s">
        <v>1358</v>
      </c>
      <c r="H59" s="44" t="s">
        <v>388</v>
      </c>
      <c r="J59" s="43" t="str">
        <f>'1C'!$AF$1</f>
        <v>American Needle</v>
      </c>
      <c r="K59" s="104" t="s">
        <v>2273</v>
      </c>
      <c r="L59" s="63" t="s">
        <v>293</v>
      </c>
      <c r="M59" s="66"/>
      <c r="N59" s="141" t="str">
        <f>Order!B57</f>
        <v>100% Хлопок</v>
      </c>
      <c r="O59" s="65"/>
      <c r="P59" s="63" t="s">
        <v>43</v>
      </c>
      <c r="Q59" s="59" t="s">
        <v>15</v>
      </c>
      <c r="R59" s="58" t="s">
        <v>382</v>
      </c>
      <c r="S59" s="58">
        <v>12</v>
      </c>
      <c r="V59" s="58"/>
      <c r="X59" s="58"/>
      <c r="Z59" s="58"/>
      <c r="AB59" s="58"/>
      <c r="AD59" s="58"/>
      <c r="AQ59" s="59">
        <f t="shared" si="1"/>
        <v>12</v>
      </c>
      <c r="AR59" s="66" t="str">
        <f>Order!A57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American Needle, Inc; 1275 Busch Parkway, Buffalo Grove, IL 60089, USA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1.2000000000000002</v>
      </c>
      <c r="AX59" s="43">
        <f t="shared" si="5"/>
        <v>1.8000000000000003</v>
      </c>
      <c r="AY59" s="155">
        <v>8.7125000000000004</v>
      </c>
      <c r="AZ59" s="156">
        <f t="shared" si="6"/>
        <v>104.55000000000001</v>
      </c>
      <c r="BA59" s="45">
        <f>IF(A59&lt;&gt;"",IF(_xlfn.XLOOKUP(A59,'1C'!A:A,'1C'!A:A,0,0)&gt;0,1,0),"")</f>
        <v>0</v>
      </c>
      <c r="BB59" s="149">
        <f>IF(C59&lt;&gt;"",IF(_xlfn.XLOOKUP(C59,'1C'!S:S,'1C'!S:S,0,0)&gt;0,0,1),"")</f>
        <v>0</v>
      </c>
      <c r="BC59" s="73">
        <f t="shared" si="7"/>
        <v>1</v>
      </c>
    </row>
    <row r="60" spans="1:55" ht="124.7" customHeight="1">
      <c r="A60" s="43" t="str">
        <f t="shared" si="0"/>
        <v>21014A-CAcoral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06-373-34</v>
      </c>
      <c r="C60" s="44" t="s">
        <v>2099</v>
      </c>
      <c r="D60" s="43" t="str">
        <f>VLOOKUP(C60,Names!A:B,2,0)</f>
        <v>CALIFORNIA Beachwood</v>
      </c>
      <c r="E60" s="43" t="str">
        <f>IF(F60&lt;&gt;"",IFERROR(VLOOKUP(F60,Категории!A:B,2,0),""),"Требуется категория")</f>
        <v>Бейсболки</v>
      </c>
      <c r="F60" s="44" t="s">
        <v>2315</v>
      </c>
      <c r="G60" s="63" t="s">
        <v>884</v>
      </c>
      <c r="H60" s="44" t="s">
        <v>388</v>
      </c>
      <c r="J60" s="43" t="str">
        <f>'1C'!$AF$1</f>
        <v>American Needle</v>
      </c>
      <c r="K60" s="104" t="s">
        <v>2274</v>
      </c>
      <c r="L60" s="58" t="s">
        <v>68</v>
      </c>
      <c r="M60" s="66"/>
      <c r="N60" s="141" t="str">
        <f>Order!B58</f>
        <v>60% Хлопок - 35% Нейлон - 5% Спандекс</v>
      </c>
      <c r="O60" s="65"/>
      <c r="P60" s="63" t="s">
        <v>43</v>
      </c>
      <c r="Q60" s="59" t="s">
        <v>15</v>
      </c>
      <c r="R60" s="58" t="s">
        <v>382</v>
      </c>
      <c r="S60" s="58">
        <v>14</v>
      </c>
      <c r="V60" s="58"/>
      <c r="X60" s="58"/>
      <c r="Z60" s="58"/>
      <c r="AB60" s="58"/>
      <c r="AD60" s="58"/>
      <c r="AQ60" s="59">
        <f t="shared" si="1"/>
        <v>14</v>
      </c>
      <c r="AR60" s="66" t="str">
        <f>Order!A58</f>
        <v>BD</v>
      </c>
      <c r="AS60" s="56" t="str">
        <f ca="1">IF(BA60&gt;0,_xlfn.XLOOKUP(A60,'1C'!$A:$A,'1C'!P:P,"",0,),IF(AR60&lt;&gt;"",VLOOKUP(AR60,INDIRECT(SUBSTITUTE($J60," ","")&amp;"Manufactures"),3,0),"Требуется код страны"))</f>
        <v>American Needle, Inc; 1275 Busch Parkway, Buffalo Grove, IL 60089, USA</v>
      </c>
      <c r="AT60" s="56" t="str">
        <f ca="1">IF(BA60&gt;0,_xlfn.XLOOKUP(A60,'1C'!$A:$A,'1C'!O:O,"",0),IF(AR60&lt;&gt;"",VLOOKUP(AR60,INDIRECT(SUBSTITUTE($J60," ","")&amp;"Manufactures"),2,0),"Требуется код страны"))</f>
        <v>Бангладеш</v>
      </c>
      <c r="AU60" s="76">
        <f t="shared" si="2"/>
        <v>0.1</v>
      </c>
      <c r="AV60" s="43">
        <f t="shared" si="3"/>
        <v>0.15000000000000002</v>
      </c>
      <c r="AW60" s="43">
        <f t="shared" si="4"/>
        <v>1.4000000000000001</v>
      </c>
      <c r="AX60" s="43">
        <f t="shared" si="5"/>
        <v>2.1000000000000005</v>
      </c>
      <c r="AY60" s="155">
        <v>6.8</v>
      </c>
      <c r="AZ60" s="156">
        <f t="shared" si="6"/>
        <v>95.2</v>
      </c>
      <c r="BA60" s="45">
        <f>IF(A60&lt;&gt;"",IF(_xlfn.XLOOKUP(A60,'1C'!A:A,'1C'!A:A,0,0)&gt;0,1,0),"")</f>
        <v>0</v>
      </c>
      <c r="BB60" s="149">
        <f>IF(C60&lt;&gt;"",IF(_xlfn.XLOOKUP(C60,'1C'!S:S,'1C'!S:S,0,0)&gt;0,0,1),"")</f>
        <v>0</v>
      </c>
      <c r="BC60" s="73">
        <f t="shared" si="7"/>
        <v>1</v>
      </c>
    </row>
    <row r="61" spans="1:55" ht="124.7" customHeight="1">
      <c r="A61" s="43" t="str">
        <f t="shared" si="0"/>
        <v>21015A-ARCADEpro blue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06-374-06</v>
      </c>
      <c r="C61" s="44" t="s">
        <v>2100</v>
      </c>
      <c r="D61" s="43" t="str">
        <f>VLOOKUP(C61,Names!A:B,2,0)</f>
        <v>Arcade Micro Slouch</v>
      </c>
      <c r="E61" s="43" t="str">
        <f>IF(F61&lt;&gt;"",IFERROR(VLOOKUP(F61,Категории!A:B,2,0),""),"Требуется категория")</f>
        <v>Бейсболки</v>
      </c>
      <c r="F61" s="44" t="s">
        <v>2315</v>
      </c>
      <c r="G61" s="63" t="s">
        <v>884</v>
      </c>
      <c r="H61" s="44" t="s">
        <v>388</v>
      </c>
      <c r="J61" s="43" t="str">
        <f>'1C'!$AF$1</f>
        <v>American Needle</v>
      </c>
      <c r="K61" s="104" t="s">
        <v>2275</v>
      </c>
      <c r="L61" s="58" t="s">
        <v>71</v>
      </c>
      <c r="M61" s="66"/>
      <c r="N61" s="141" t="str">
        <f>Order!B59</f>
        <v>100% Хлопок</v>
      </c>
      <c r="O61" s="65"/>
      <c r="P61" s="63" t="s">
        <v>43</v>
      </c>
      <c r="Q61" s="59" t="s">
        <v>15</v>
      </c>
      <c r="R61" s="58" t="s">
        <v>382</v>
      </c>
      <c r="S61" s="58">
        <v>17</v>
      </c>
      <c r="V61" s="58"/>
      <c r="X61" s="58"/>
      <c r="Z61" s="58"/>
      <c r="AB61" s="58"/>
      <c r="AD61" s="58"/>
      <c r="AQ61" s="59">
        <f t="shared" si="1"/>
        <v>17</v>
      </c>
      <c r="AR61" s="66" t="str">
        <f>Order!A59</f>
        <v>BD</v>
      </c>
      <c r="AS61" s="56" t="str">
        <f ca="1">IF(BA61&gt;0,_xlfn.XLOOKUP(A61,'1C'!$A:$A,'1C'!P:P,"",0,),IF(AR61&lt;&gt;"",VLOOKUP(AR61,INDIRECT(SUBSTITUTE($J61," ","")&amp;"Manufactures"),3,0),"Требуется код страны"))</f>
        <v>American Needle, Inc; 1275 Busch Parkway, Buffalo Grove, IL 60089, USA</v>
      </c>
      <c r="AT61" s="56" t="str">
        <f ca="1">IF(BA61&gt;0,_xlfn.XLOOKUP(A61,'1C'!$A:$A,'1C'!O:O,"",0),IF(AR61&lt;&gt;"",VLOOKUP(AR61,INDIRECT(SUBSTITUTE($J61," ","")&amp;"Manufactures"),2,0),"Требуется код страны"))</f>
        <v>Бангладеш</v>
      </c>
      <c r="AU61" s="76">
        <f t="shared" si="2"/>
        <v>0.1</v>
      </c>
      <c r="AV61" s="43">
        <f t="shared" si="3"/>
        <v>0.15000000000000002</v>
      </c>
      <c r="AW61" s="43">
        <f t="shared" si="4"/>
        <v>1.7000000000000002</v>
      </c>
      <c r="AX61" s="43">
        <f t="shared" si="5"/>
        <v>2.5500000000000003</v>
      </c>
      <c r="AY61" s="155">
        <v>5.73764705882353</v>
      </c>
      <c r="AZ61" s="156">
        <f t="shared" si="6"/>
        <v>97.54</v>
      </c>
      <c r="BA61" s="45">
        <f>IF(A61&lt;&gt;"",IF(_xlfn.XLOOKUP(A61,'1C'!A:A,'1C'!A:A,0,0)&gt;0,1,0),"")</f>
        <v>0</v>
      </c>
      <c r="BB61" s="149">
        <f>IF(C61&lt;&gt;"",IF(_xlfn.XLOOKUP(C61,'1C'!S:S,'1C'!S:S,0,0)&gt;0,0,1),"")</f>
        <v>0</v>
      </c>
      <c r="BC61" s="73">
        <f t="shared" si="7"/>
        <v>1</v>
      </c>
    </row>
    <row r="62" spans="1:55" ht="128.65" customHeight="1">
      <c r="A62" s="43" t="str">
        <f t="shared" si="0"/>
        <v>21015A-CALIblack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06-375-09</v>
      </c>
      <c r="C62" s="44" t="s">
        <v>2101</v>
      </c>
      <c r="D62" s="43" t="str">
        <f>VLOOKUP(C62,Names!A:B,2,0)</f>
        <v>CALI Micro Slouch</v>
      </c>
      <c r="E62" s="43" t="str">
        <f>IF(F62&lt;&gt;"",IFERROR(VLOOKUP(F62,Категории!A:B,2,0),""),"Требуется категория")</f>
        <v>Бейсболки</v>
      </c>
      <c r="F62" s="44" t="s">
        <v>2315</v>
      </c>
      <c r="G62" s="63" t="s">
        <v>884</v>
      </c>
      <c r="H62" s="44" t="s">
        <v>388</v>
      </c>
      <c r="J62" s="43" t="str">
        <f>'1C'!$AF$1</f>
        <v>American Needle</v>
      </c>
      <c r="K62" s="104" t="s">
        <v>819</v>
      </c>
      <c r="L62" s="59" t="str">
        <f>IF(K62&lt;&gt;"",IFERROR(VLOOKUP(A62,'1C'!A:T,8,0),IFERROR(VLOOKUP(K62,Colors!D:E,2,0),"")),"")</f>
        <v>черный</v>
      </c>
      <c r="M62" s="145" t="str">
        <f>IF(K62&lt;&gt;"",IFERROR(VLOOKUP(A62,'1C'!A:T,18,0),IFERROR(VLOOKUP(K62,Colors!D:E,2,0),"")),"")</f>
        <v>черный</v>
      </c>
      <c r="N62" s="141" t="str">
        <f>Order!B60</f>
        <v>100% Хлопок</v>
      </c>
      <c r="O62" s="65"/>
      <c r="P62" s="63" t="s">
        <v>43</v>
      </c>
      <c r="Q62" s="59" t="s">
        <v>15</v>
      </c>
      <c r="R62" s="58" t="s">
        <v>382</v>
      </c>
      <c r="S62" s="58">
        <v>17</v>
      </c>
      <c r="V62" s="58"/>
      <c r="X62" s="58"/>
      <c r="Z62" s="58"/>
      <c r="AB62" s="58"/>
      <c r="AD62" s="58"/>
      <c r="AQ62" s="59">
        <f t="shared" si="1"/>
        <v>17</v>
      </c>
      <c r="AR62" s="66" t="str">
        <f>Order!A60</f>
        <v>BD</v>
      </c>
      <c r="AS62" s="56" t="str">
        <f ca="1">IF(BA62&gt;0,_xlfn.XLOOKUP(A62,'1C'!$A:$A,'1C'!P:P,"",0,),IF(AR62&lt;&gt;"",VLOOKUP(AR62,INDIRECT(SUBSTITUTE($J62," ","")&amp;"Manufactures"),3,0),"Требуется код страны"))</f>
        <v>American Needle, Inc; 1275 Busch Parkway, Buffalo Grove, IL 60089, USA</v>
      </c>
      <c r="AT62" s="56" t="str">
        <f ca="1">IF(BA62&gt;0,_xlfn.XLOOKUP(A62,'1C'!$A:$A,'1C'!O:O,"",0),IF(AR62&lt;&gt;"",VLOOKUP(AR62,INDIRECT(SUBSTITUTE($J62," ","")&amp;"Manufactures"),2,0),"Требуется код страны"))</f>
        <v>Бангладеш</v>
      </c>
      <c r="AU62" s="76">
        <f t="shared" si="2"/>
        <v>0.1</v>
      </c>
      <c r="AV62" s="43">
        <f t="shared" si="3"/>
        <v>0.15000000000000002</v>
      </c>
      <c r="AW62" s="43">
        <f t="shared" si="4"/>
        <v>1.7000000000000002</v>
      </c>
      <c r="AX62" s="43">
        <f t="shared" si="5"/>
        <v>2.5500000000000003</v>
      </c>
      <c r="AY62" s="155">
        <v>5.73764705882353</v>
      </c>
      <c r="AZ62" s="156">
        <f t="shared" si="6"/>
        <v>97.54</v>
      </c>
      <c r="BA62" s="45">
        <f>IF(A62&lt;&gt;"",IF(_xlfn.XLOOKUP(A62,'1C'!A:A,'1C'!A:A,0,0)&gt;0,1,0),"")</f>
        <v>0</v>
      </c>
      <c r="BB62" s="149">
        <f>IF(C62&lt;&gt;"",IF(_xlfn.XLOOKUP(C62,'1C'!S:S,'1C'!S:S,0,0)&gt;0,0,1),"")</f>
        <v>0</v>
      </c>
      <c r="BC62" s="73">
        <f t="shared" si="7"/>
        <v>1</v>
      </c>
    </row>
    <row r="63" spans="1:55" ht="128.65" customHeight="1">
      <c r="A63" s="43" t="str">
        <f t="shared" si="0"/>
        <v>21015A-HTCblack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06-376-09</v>
      </c>
      <c r="C63" s="44" t="s">
        <v>2102</v>
      </c>
      <c r="D63" s="43" t="str">
        <f>VLOOKUP(C63,Names!A:B,2,0)</f>
        <v>HIROSHIMA CARP Micro Slouch</v>
      </c>
      <c r="E63" s="43" t="str">
        <f>IF(F63&lt;&gt;"",IFERROR(VLOOKUP(F63,Категории!A:B,2,0),""),"Требуется категория")</f>
        <v>Бейсболки</v>
      </c>
      <c r="F63" s="44" t="s">
        <v>2315</v>
      </c>
      <c r="G63" s="63" t="s">
        <v>884</v>
      </c>
      <c r="H63" s="44" t="s">
        <v>388</v>
      </c>
      <c r="J63" s="43" t="str">
        <f>'1C'!$AF$1</f>
        <v>American Needle</v>
      </c>
      <c r="K63" s="104" t="s">
        <v>819</v>
      </c>
      <c r="L63" s="59" t="str">
        <f>IF(K63&lt;&gt;"",IFERROR(VLOOKUP(A63,'1C'!A:T,8,0),IFERROR(VLOOKUP(K63,Colors!D:E,2,0),"")),"")</f>
        <v>черный</v>
      </c>
      <c r="M63" s="145" t="str">
        <f>IF(K63&lt;&gt;"",IFERROR(VLOOKUP(A63,'1C'!A:T,18,0),IFERROR(VLOOKUP(K63,Colors!D:E,2,0),"")),"")</f>
        <v>черный</v>
      </c>
      <c r="N63" s="141" t="str">
        <f>Order!B61</f>
        <v>100% Хлопок</v>
      </c>
      <c r="O63" s="65"/>
      <c r="P63" s="63" t="s">
        <v>43</v>
      </c>
      <c r="Q63" s="59" t="s">
        <v>15</v>
      </c>
      <c r="R63" s="58" t="s">
        <v>382</v>
      </c>
      <c r="S63" s="58">
        <v>30</v>
      </c>
      <c r="V63" s="58"/>
      <c r="X63" s="58"/>
      <c r="Z63" s="58"/>
      <c r="AB63" s="58"/>
      <c r="AD63" s="58"/>
      <c r="AQ63" s="59">
        <f t="shared" si="1"/>
        <v>30</v>
      </c>
      <c r="AR63" s="66" t="str">
        <f>Order!A61</f>
        <v>BD</v>
      </c>
      <c r="AS63" s="56" t="str">
        <f ca="1">IF(BA63&gt;0,_xlfn.XLOOKUP(A63,'1C'!$A:$A,'1C'!P:P,"",0,),IF(AR63&lt;&gt;"",VLOOKUP(AR63,INDIRECT(SUBSTITUTE($J63," ","")&amp;"Manufactures"),3,0),"Требуется код страны"))</f>
        <v>American Needle, Inc; 1275 Busch Parkway, Buffalo Grove, IL 60089, USA</v>
      </c>
      <c r="AT63" s="56" t="str">
        <f ca="1">IF(BA63&gt;0,_xlfn.XLOOKUP(A63,'1C'!$A:$A,'1C'!O:O,"",0),IF(AR63&lt;&gt;"",VLOOKUP(AR63,INDIRECT(SUBSTITUTE($J63," ","")&amp;"Manufactures"),2,0),"Требуется код страны"))</f>
        <v>Бангладеш</v>
      </c>
      <c r="AU63" s="76">
        <f t="shared" si="2"/>
        <v>0.1</v>
      </c>
      <c r="AV63" s="43">
        <f t="shared" si="3"/>
        <v>0.15000000000000002</v>
      </c>
      <c r="AW63" s="43">
        <f t="shared" si="4"/>
        <v>3</v>
      </c>
      <c r="AX63" s="43">
        <f t="shared" si="5"/>
        <v>4.5000000000000009</v>
      </c>
      <c r="AY63" s="155">
        <v>7.65</v>
      </c>
      <c r="AZ63" s="156">
        <f t="shared" si="6"/>
        <v>229.5</v>
      </c>
      <c r="BA63" s="45">
        <f>IF(A63&lt;&gt;"",IF(_xlfn.XLOOKUP(A63,'1C'!A:A,'1C'!A:A,0,0)&gt;0,1,0),"")</f>
        <v>0</v>
      </c>
      <c r="BB63" s="149">
        <f>IF(C63&lt;&gt;"",IF(_xlfn.XLOOKUP(C63,'1C'!S:S,'1C'!S:S,0,0)&gt;0,0,1),"")</f>
        <v>0</v>
      </c>
      <c r="BC63" s="73">
        <f t="shared" si="7"/>
        <v>1</v>
      </c>
    </row>
    <row r="64" spans="1:55" ht="123.95" customHeight="1">
      <c r="A64" s="43" t="str">
        <f t="shared" si="0"/>
        <v>21015A-HTItrue yellow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06-377-20</v>
      </c>
      <c r="C64" s="44" t="s">
        <v>2103</v>
      </c>
      <c r="D64" s="43" t="str">
        <f>VLOOKUP(C64,Names!A:B,2,0)</f>
        <v>HANSHIN TIGERS Micro Slouch NPN</v>
      </c>
      <c r="E64" s="43" t="str">
        <f>IF(F64&lt;&gt;"",IFERROR(VLOOKUP(F64,Категории!A:B,2,0),""),"Требуется категория")</f>
        <v>Бейсболки</v>
      </c>
      <c r="F64" s="44" t="s">
        <v>2315</v>
      </c>
      <c r="G64" s="63" t="s">
        <v>884</v>
      </c>
      <c r="H64" s="44" t="s">
        <v>388</v>
      </c>
      <c r="J64" s="43" t="str">
        <f>'1C'!$AF$1</f>
        <v>American Needle</v>
      </c>
      <c r="K64" s="104" t="s">
        <v>2276</v>
      </c>
      <c r="L64" s="58" t="s">
        <v>65</v>
      </c>
      <c r="M64" s="66"/>
      <c r="N64" s="141" t="str">
        <f>Order!B62</f>
        <v>100% Хлопок</v>
      </c>
      <c r="O64" s="65"/>
      <c r="P64" s="63" t="s">
        <v>43</v>
      </c>
      <c r="Q64" s="59" t="s">
        <v>15</v>
      </c>
      <c r="R64" s="58" t="s">
        <v>382</v>
      </c>
      <c r="S64" s="58">
        <v>16</v>
      </c>
      <c r="V64" s="58"/>
      <c r="X64" s="58"/>
      <c r="Z64" s="58"/>
      <c r="AB64" s="58"/>
      <c r="AD64" s="58"/>
      <c r="AQ64" s="59">
        <f t="shared" si="1"/>
        <v>16</v>
      </c>
      <c r="AR64" s="66" t="str">
        <f>Order!A62</f>
        <v>BD</v>
      </c>
      <c r="AS64" s="56" t="str">
        <f ca="1">IF(BA64&gt;0,_xlfn.XLOOKUP(A64,'1C'!$A:$A,'1C'!P:P,"",0,),IF(AR64&lt;&gt;"",VLOOKUP(AR64,INDIRECT(SUBSTITUTE($J64," ","")&amp;"Manufactures"),3,0),"Требуется код страны"))</f>
        <v>American Needle, Inc; 1275 Busch Parkway, Buffalo Grove, IL 60089, USA</v>
      </c>
      <c r="AT64" s="56" t="str">
        <f ca="1">IF(BA64&gt;0,_xlfn.XLOOKUP(A64,'1C'!$A:$A,'1C'!O:O,"",0),IF(AR64&lt;&gt;"",VLOOKUP(AR64,INDIRECT(SUBSTITUTE($J64," ","")&amp;"Manufactures"),2,0),"Требуется код страны"))</f>
        <v>Бангладеш</v>
      </c>
      <c r="AU64" s="76">
        <f t="shared" si="2"/>
        <v>0.1</v>
      </c>
      <c r="AV64" s="43">
        <f t="shared" si="3"/>
        <v>0.15000000000000002</v>
      </c>
      <c r="AW64" s="43">
        <f t="shared" si="4"/>
        <v>1.6</v>
      </c>
      <c r="AX64" s="43">
        <f t="shared" si="5"/>
        <v>2.4000000000000004</v>
      </c>
      <c r="AY64" s="155">
        <v>7.65</v>
      </c>
      <c r="AZ64" s="156">
        <f t="shared" si="6"/>
        <v>122.4</v>
      </c>
      <c r="BA64" s="45">
        <f>IF(A64&lt;&gt;"",IF(_xlfn.XLOOKUP(A64,'1C'!A:A,'1C'!A:A,0,0)&gt;0,1,0),"")</f>
        <v>0</v>
      </c>
      <c r="BB64" s="149">
        <f>IF(C64&lt;&gt;"",IF(_xlfn.XLOOKUP(C64,'1C'!S:S,'1C'!S:S,0,0)&gt;0,0,1),"")</f>
        <v>0</v>
      </c>
      <c r="BC64" s="73">
        <f t="shared" si="7"/>
        <v>1</v>
      </c>
    </row>
    <row r="65" spans="1:55" ht="128.65" customHeight="1">
      <c r="A65" s="43" t="str">
        <f t="shared" si="0"/>
        <v>21015A-KINGblack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06-378-09</v>
      </c>
      <c r="C65" s="44" t="s">
        <v>2104</v>
      </c>
      <c r="D65" s="43" t="str">
        <f>VLOOKUP(C65,Names!A:B,2,0)</f>
        <v>King Micro Slouch</v>
      </c>
      <c r="E65" s="43" t="str">
        <f>IF(F65&lt;&gt;"",IFERROR(VLOOKUP(F65,Категории!A:B,2,0),""),"Требуется категория")</f>
        <v>Бейсболки</v>
      </c>
      <c r="F65" s="44" t="s">
        <v>2315</v>
      </c>
      <c r="G65" s="63" t="s">
        <v>884</v>
      </c>
      <c r="H65" s="44" t="s">
        <v>388</v>
      </c>
      <c r="J65" s="43" t="str">
        <f>'1C'!$AF$1</f>
        <v>American Needle</v>
      </c>
      <c r="K65" s="104" t="s">
        <v>819</v>
      </c>
      <c r="L65" s="56" t="str">
        <f>IF(K65&lt;&gt;"",IFERROR(VLOOKUP(A65,'1C'!A:T,8,0),IFERROR(VLOOKUP(K65,Colors!D:E,2,0),"")),"")</f>
        <v>черный</v>
      </c>
      <c r="M65" s="145" t="str">
        <f>IF(K65&lt;&gt;"",IFERROR(VLOOKUP(A65,'1C'!A:T,18,0),IFERROR(VLOOKUP(K65,Colors!D:E,2,0),"")),"")</f>
        <v>черный</v>
      </c>
      <c r="N65" s="141" t="str">
        <f>Order!B63</f>
        <v>100% Хлопок</v>
      </c>
      <c r="O65" s="65"/>
      <c r="P65" s="63" t="s">
        <v>43</v>
      </c>
      <c r="Q65" s="59" t="s">
        <v>15</v>
      </c>
      <c r="R65" s="58" t="s">
        <v>382</v>
      </c>
      <c r="S65" s="58">
        <v>15</v>
      </c>
      <c r="V65" s="58"/>
      <c r="X65" s="58"/>
      <c r="Z65" s="58"/>
      <c r="AB65" s="58"/>
      <c r="AD65" s="58"/>
      <c r="AQ65" s="59">
        <f t="shared" si="1"/>
        <v>15</v>
      </c>
      <c r="AR65" s="66" t="str">
        <f>Order!A63</f>
        <v>BD</v>
      </c>
      <c r="AS65" s="56" t="str">
        <f ca="1">IF(BA65&gt;0,_xlfn.XLOOKUP(A65,'1C'!$A:$A,'1C'!P:P,"",0,),IF(AR65&lt;&gt;"",VLOOKUP(AR65,INDIRECT(SUBSTITUTE($J65," ","")&amp;"Manufactures"),3,0),"Требуется код страны"))</f>
        <v>American Needle, Inc; 1275 Busch Parkway, Buffalo Grove, IL 60089, USA</v>
      </c>
      <c r="AT65" s="56" t="str">
        <f ca="1">IF(BA65&gt;0,_xlfn.XLOOKUP(A65,'1C'!$A:$A,'1C'!O:O,"",0),IF(AR65&lt;&gt;"",VLOOKUP(AR65,INDIRECT(SUBSTITUTE($J65," ","")&amp;"Manufactures"),2,0),"Требуется код страны"))</f>
        <v>Бангладеш</v>
      </c>
      <c r="AU65" s="76">
        <f t="shared" si="2"/>
        <v>0.1</v>
      </c>
      <c r="AV65" s="43">
        <f t="shared" si="3"/>
        <v>0.15000000000000002</v>
      </c>
      <c r="AW65" s="43">
        <f t="shared" si="4"/>
        <v>1.5</v>
      </c>
      <c r="AX65" s="43">
        <f t="shared" si="5"/>
        <v>2.2500000000000004</v>
      </c>
      <c r="AY65" s="155">
        <v>5.7373333333333338</v>
      </c>
      <c r="AZ65" s="156">
        <f t="shared" si="6"/>
        <v>86.06</v>
      </c>
      <c r="BA65" s="45">
        <f>IF(A65&lt;&gt;"",IF(_xlfn.XLOOKUP(A65,'1C'!A:A,'1C'!A:A,0,0)&gt;0,1,0),"")</f>
        <v>0</v>
      </c>
      <c r="BB65" s="149">
        <f>IF(C65&lt;&gt;"",IF(_xlfn.XLOOKUP(C65,'1C'!S:S,'1C'!S:S,0,0)&gt;0,0,1),"")</f>
        <v>0</v>
      </c>
      <c r="BC65" s="73">
        <f t="shared" si="7"/>
        <v>1</v>
      </c>
    </row>
    <row r="66" spans="1:55" ht="119.65" customHeight="1">
      <c r="A66" s="43" t="str">
        <f t="shared" si="0"/>
        <v>21015A-KNIGHTnavy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06-379-16</v>
      </c>
      <c r="C66" s="44" t="s">
        <v>2105</v>
      </c>
      <c r="D66" s="43" t="str">
        <f>VLOOKUP(C66,Names!A:B,2,0)</f>
        <v>Knight Micro Slouch</v>
      </c>
      <c r="E66" s="43" t="str">
        <f>IF(F66&lt;&gt;"",IFERROR(VLOOKUP(F66,Категории!A:B,2,0),""),"Требуется категория")</f>
        <v>Бейсболки</v>
      </c>
      <c r="F66" s="44" t="s">
        <v>2315</v>
      </c>
      <c r="G66" s="63" t="s">
        <v>884</v>
      </c>
      <c r="H66" s="44" t="s">
        <v>388</v>
      </c>
      <c r="J66" s="43" t="str">
        <f>'1C'!$AF$1</f>
        <v>American Needle</v>
      </c>
      <c r="K66" s="104" t="s">
        <v>818</v>
      </c>
      <c r="L66" s="56" t="str">
        <f>IF(K66&lt;&gt;"",IFERROR(VLOOKUP(A66,'1C'!A:T,8,0),IFERROR(VLOOKUP(K66,Colors!D:E,2,0),"")),"")</f>
        <v>темно-синий</v>
      </c>
      <c r="M66" s="145" t="str">
        <f>IF(K66&lt;&gt;"",IFERROR(VLOOKUP(A66,'1C'!A:T,18,0),IFERROR(VLOOKUP(K66,Colors!D:E,2,0),"")),"")</f>
        <v>темно-синий</v>
      </c>
      <c r="N66" s="141" t="str">
        <f>Order!B64</f>
        <v>100% Хлопок</v>
      </c>
      <c r="O66" s="65"/>
      <c r="P66" s="63" t="s">
        <v>43</v>
      </c>
      <c r="Q66" s="59" t="s">
        <v>15</v>
      </c>
      <c r="R66" s="58" t="s">
        <v>382</v>
      </c>
      <c r="S66" s="58">
        <v>17</v>
      </c>
      <c r="V66" s="58"/>
      <c r="X66" s="58"/>
      <c r="Z66" s="58"/>
      <c r="AB66" s="58"/>
      <c r="AD66" s="58"/>
      <c r="AQ66" s="59">
        <f t="shared" si="1"/>
        <v>17</v>
      </c>
      <c r="AR66" s="66" t="str">
        <f>Order!A64</f>
        <v>BD</v>
      </c>
      <c r="AS66" s="56" t="str">
        <f ca="1">IF(BA66&gt;0,_xlfn.XLOOKUP(A66,'1C'!$A:$A,'1C'!P:P,"",0,),IF(AR66&lt;&gt;"",VLOOKUP(AR66,INDIRECT(SUBSTITUTE($J66," ","")&amp;"Manufactures"),3,0),"Требуется код страны"))</f>
        <v>American Needle, Inc; 1275 Busch Parkway, Buffalo Grove, IL 60089, USA</v>
      </c>
      <c r="AT66" s="56" t="str">
        <f ca="1">IF(BA66&gt;0,_xlfn.XLOOKUP(A66,'1C'!$A:$A,'1C'!O:O,"",0),IF(AR66&lt;&gt;"",VLOOKUP(AR66,INDIRECT(SUBSTITUTE($J66," ","")&amp;"Manufactures"),2,0),"Требуется код страны"))</f>
        <v>Бангладеш</v>
      </c>
      <c r="AU66" s="76">
        <f t="shared" si="2"/>
        <v>0.1</v>
      </c>
      <c r="AV66" s="43">
        <f t="shared" si="3"/>
        <v>0.15000000000000002</v>
      </c>
      <c r="AW66" s="43">
        <f t="shared" si="4"/>
        <v>1.7000000000000002</v>
      </c>
      <c r="AX66" s="43">
        <f t="shared" si="5"/>
        <v>2.5500000000000003</v>
      </c>
      <c r="AY66" s="155">
        <v>5.73764705882353</v>
      </c>
      <c r="AZ66" s="156">
        <f t="shared" si="6"/>
        <v>97.54</v>
      </c>
      <c r="BA66" s="45">
        <f>IF(A66&lt;&gt;"",IF(_xlfn.XLOOKUP(A66,'1C'!A:A,'1C'!A:A,0,0)&gt;0,1,0),"")</f>
        <v>0</v>
      </c>
      <c r="BB66" s="149">
        <f>IF(C66&lt;&gt;"",IF(_xlfn.XLOOKUP(C66,'1C'!S:S,'1C'!S:S,0,0)&gt;0,0,1),"")</f>
        <v>0</v>
      </c>
      <c r="BC66" s="73">
        <f t="shared" si="7"/>
        <v>1</v>
      </c>
    </row>
    <row r="67" spans="1:55" ht="128.65" customHeight="1">
      <c r="A67" s="43" t="str">
        <f t="shared" si="0"/>
        <v>21015A-PEAClemon ice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06-380-20</v>
      </c>
      <c r="C67" s="44" t="s">
        <v>2106</v>
      </c>
      <c r="D67" s="43" t="str">
        <f>VLOOKUP(C67,Names!A:B,2,0)</f>
        <v>Peace Micro Slouch</v>
      </c>
      <c r="E67" s="43" t="str">
        <f>IF(F67&lt;&gt;"",IFERROR(VLOOKUP(F67,Категории!A:B,2,0),""),"Требуется категория")</f>
        <v>Бейсболки</v>
      </c>
      <c r="F67" s="44" t="s">
        <v>2315</v>
      </c>
      <c r="G67" s="63" t="s">
        <v>884</v>
      </c>
      <c r="H67" s="44" t="s">
        <v>388</v>
      </c>
      <c r="J67" s="43" t="str">
        <f>'1C'!$AF$1</f>
        <v>American Needle</v>
      </c>
      <c r="K67" s="104" t="s">
        <v>2264</v>
      </c>
      <c r="L67" s="63" t="s">
        <v>750</v>
      </c>
      <c r="M67" s="66"/>
      <c r="N67" s="141" t="str">
        <f>Order!B65</f>
        <v>100% Хлопок</v>
      </c>
      <c r="O67" s="65"/>
      <c r="P67" s="63" t="s">
        <v>43</v>
      </c>
      <c r="Q67" s="59" t="s">
        <v>15</v>
      </c>
      <c r="R67" s="58" t="s">
        <v>382</v>
      </c>
      <c r="S67" s="58">
        <v>12</v>
      </c>
      <c r="V67" s="58"/>
      <c r="X67" s="58"/>
      <c r="Z67" s="58"/>
      <c r="AB67" s="58"/>
      <c r="AD67" s="58"/>
      <c r="AQ67" s="59">
        <f t="shared" si="1"/>
        <v>12</v>
      </c>
      <c r="AR67" s="66" t="str">
        <f>Order!A65</f>
        <v>BD</v>
      </c>
      <c r="AS67" s="56" t="str">
        <f ca="1">IF(BA67&gt;0,_xlfn.XLOOKUP(A67,'1C'!$A:$A,'1C'!P:P,"",0,),IF(AR67&lt;&gt;"",VLOOKUP(AR67,INDIRECT(SUBSTITUTE($J67," ","")&amp;"Manufactures"),3,0),"Требуется код страны"))</f>
        <v>American Needle, Inc; 1275 Busch Parkway, Buffalo Grove, IL 60089, USA</v>
      </c>
      <c r="AT67" s="56" t="str">
        <f ca="1">IF(BA67&gt;0,_xlfn.XLOOKUP(A67,'1C'!$A:$A,'1C'!O:O,"",0),IF(AR67&lt;&gt;"",VLOOKUP(AR67,INDIRECT(SUBSTITUTE($J67," ","")&amp;"Manufactures"),2,0),"Требуется код страны"))</f>
        <v>Бангладеш</v>
      </c>
      <c r="AU67" s="76">
        <f t="shared" si="2"/>
        <v>0.1</v>
      </c>
      <c r="AV67" s="43">
        <f t="shared" si="3"/>
        <v>0.15000000000000002</v>
      </c>
      <c r="AW67" s="43">
        <f t="shared" si="4"/>
        <v>1.2000000000000002</v>
      </c>
      <c r="AX67" s="43">
        <f t="shared" si="5"/>
        <v>1.8000000000000003</v>
      </c>
      <c r="AY67" s="155">
        <v>5.7374999999999998</v>
      </c>
      <c r="AZ67" s="156">
        <f t="shared" si="6"/>
        <v>68.849999999999994</v>
      </c>
      <c r="BA67" s="45">
        <f>IF(A67&lt;&gt;"",IF(_xlfn.XLOOKUP(A67,'1C'!A:A,'1C'!A:A,0,0)&gt;0,1,0),"")</f>
        <v>0</v>
      </c>
      <c r="BB67" s="149">
        <f>IF(C67&lt;&gt;"",IF(_xlfn.XLOOKUP(C67,'1C'!S:S,'1C'!S:S,0,0)&gt;0,0,1),"")</f>
        <v>0</v>
      </c>
      <c r="BC67" s="73">
        <f t="shared" si="7"/>
        <v>1</v>
      </c>
    </row>
    <row r="68" spans="1:55" ht="133.69999999999999" customHeight="1">
      <c r="A68" s="43" t="str">
        <f t="shared" si="0"/>
        <v>21015A-SAAbay blue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06-381-06</v>
      </c>
      <c r="C68" s="44" t="s">
        <v>2107</v>
      </c>
      <c r="D68" s="43" t="str">
        <f>VLOOKUP(C68,Names!A:B,2,0)</f>
        <v>SANKEI ATOMS Micro Slouch</v>
      </c>
      <c r="E68" s="43" t="str">
        <f>IF(F68&lt;&gt;"",IFERROR(VLOOKUP(F68,Категории!A:B,2,0),""),"Требуется категория")</f>
        <v>Бейсболки</v>
      </c>
      <c r="F68" s="44" t="s">
        <v>2315</v>
      </c>
      <c r="G68" s="63" t="s">
        <v>884</v>
      </c>
      <c r="H68" s="44" t="s">
        <v>388</v>
      </c>
      <c r="J68" s="43" t="str">
        <f>'1C'!$AF$1</f>
        <v>American Needle</v>
      </c>
      <c r="K68" s="104" t="s">
        <v>2277</v>
      </c>
      <c r="L68" s="63" t="s">
        <v>71</v>
      </c>
      <c r="M68" s="66"/>
      <c r="N68" s="141" t="str">
        <f>Order!B66</f>
        <v>100% Хлопок</v>
      </c>
      <c r="O68" s="65"/>
      <c r="P68" s="63" t="s">
        <v>43</v>
      </c>
      <c r="Q68" s="59" t="s">
        <v>15</v>
      </c>
      <c r="R68" s="58" t="s">
        <v>382</v>
      </c>
      <c r="S68" s="58">
        <v>30</v>
      </c>
      <c r="V68" s="58"/>
      <c r="X68" s="58"/>
      <c r="Z68" s="58"/>
      <c r="AB68" s="58"/>
      <c r="AD68" s="58"/>
      <c r="AQ68" s="59">
        <f t="shared" si="1"/>
        <v>30</v>
      </c>
      <c r="AR68" s="66" t="str">
        <f>Order!A66</f>
        <v>BD</v>
      </c>
      <c r="AS68" s="56" t="str">
        <f ca="1">IF(BA68&gt;0,_xlfn.XLOOKUP(A68,'1C'!$A:$A,'1C'!P:P,"",0,),IF(AR68&lt;&gt;"",VLOOKUP(AR68,INDIRECT(SUBSTITUTE($J68," ","")&amp;"Manufactures"),3,0),"Требуется код страны"))</f>
        <v>American Needle, Inc; 1275 Busch Parkway, Buffalo Grove, IL 60089, USA</v>
      </c>
      <c r="AT68" s="56" t="str">
        <f ca="1">IF(BA68&gt;0,_xlfn.XLOOKUP(A68,'1C'!$A:$A,'1C'!O:O,"",0),IF(AR68&lt;&gt;"",VLOOKUP(AR68,INDIRECT(SUBSTITUTE($J68," ","")&amp;"Manufactures"),2,0),"Требуется код страны"))</f>
        <v>Бангладеш</v>
      </c>
      <c r="AU68" s="76">
        <f t="shared" si="2"/>
        <v>0.1</v>
      </c>
      <c r="AV68" s="43">
        <f t="shared" si="3"/>
        <v>0.15000000000000002</v>
      </c>
      <c r="AW68" s="43">
        <f t="shared" si="4"/>
        <v>3</v>
      </c>
      <c r="AX68" s="43">
        <f t="shared" si="5"/>
        <v>4.5000000000000009</v>
      </c>
      <c r="AY68" s="155">
        <v>7.65</v>
      </c>
      <c r="AZ68" s="156">
        <f t="shared" si="6"/>
        <v>229.5</v>
      </c>
      <c r="BA68" s="45">
        <f>IF(A68&lt;&gt;"",IF(_xlfn.XLOOKUP(A68,'1C'!A:A,'1C'!A:A,0,0)&gt;0,1,0),"")</f>
        <v>0</v>
      </c>
      <c r="BB68" s="149">
        <f>IF(C68&lt;&gt;"",IF(_xlfn.XLOOKUP(C68,'1C'!S:S,'1C'!S:S,0,0)&gt;0,0,1),"")</f>
        <v>0</v>
      </c>
      <c r="BC68" s="73">
        <f t="shared" si="7"/>
        <v>1</v>
      </c>
    </row>
    <row r="69" spans="1:55" ht="124.7" customHeight="1">
      <c r="A69" s="43" t="str">
        <f t="shared" si="0"/>
        <v>21015A-TIKInavy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06-382-16</v>
      </c>
      <c r="C69" s="44" t="s">
        <v>2108</v>
      </c>
      <c r="D69" s="43" t="str">
        <f>VLOOKUP(C69,Names!A:B,2,0)</f>
        <v>Tiki Micro Slouch</v>
      </c>
      <c r="E69" s="43" t="str">
        <f>IF(F69&lt;&gt;"",IFERROR(VLOOKUP(F69,Категории!A:B,2,0),""),"Требуется категория")</f>
        <v>Бейсболки</v>
      </c>
      <c r="F69" s="44" t="s">
        <v>2315</v>
      </c>
      <c r="G69" s="63" t="s">
        <v>884</v>
      </c>
      <c r="H69" s="44" t="s">
        <v>388</v>
      </c>
      <c r="J69" s="43" t="str">
        <f>'1C'!$AF$1</f>
        <v>American Needle</v>
      </c>
      <c r="K69" s="104" t="s">
        <v>818</v>
      </c>
      <c r="L69" s="56" t="str">
        <f>IF(K69&lt;&gt;"",IFERROR(VLOOKUP(A69,'1C'!A:T,8,0),IFERROR(VLOOKUP(K69,Colors!D:E,2,0),"")),"")</f>
        <v>темно-синий</v>
      </c>
      <c r="M69" s="145" t="str">
        <f>IF(K69&lt;&gt;"",IFERROR(VLOOKUP(A69,'1C'!A:T,18,0),IFERROR(VLOOKUP(K69,Colors!D:E,2,0),"")),"")</f>
        <v>темно-синий</v>
      </c>
      <c r="N69" s="141" t="str">
        <f>Order!B67</f>
        <v>100% Хлопок</v>
      </c>
      <c r="O69" s="65"/>
      <c r="P69" s="63" t="s">
        <v>43</v>
      </c>
      <c r="Q69" s="59" t="s">
        <v>15</v>
      </c>
      <c r="R69" s="58" t="s">
        <v>382</v>
      </c>
      <c r="S69" s="58">
        <v>17</v>
      </c>
      <c r="V69" s="58"/>
      <c r="X69" s="58"/>
      <c r="Z69" s="58"/>
      <c r="AB69" s="58"/>
      <c r="AD69" s="58"/>
      <c r="AQ69" s="59">
        <f t="shared" si="1"/>
        <v>17</v>
      </c>
      <c r="AR69" s="66" t="str">
        <f>Order!A67</f>
        <v>BD</v>
      </c>
      <c r="AS69" s="56" t="str">
        <f ca="1">IF(BA69&gt;0,_xlfn.XLOOKUP(A69,'1C'!$A:$A,'1C'!P:P,"",0,),IF(AR69&lt;&gt;"",VLOOKUP(AR69,INDIRECT(SUBSTITUTE($J69," ","")&amp;"Manufactures"),3,0),"Требуется код страны"))</f>
        <v>American Needle, Inc; 1275 Busch Parkway, Buffalo Grove, IL 60089, USA</v>
      </c>
      <c r="AT69" s="56" t="str">
        <f ca="1">IF(BA69&gt;0,_xlfn.XLOOKUP(A69,'1C'!$A:$A,'1C'!O:O,"",0),IF(AR69&lt;&gt;"",VLOOKUP(AR69,INDIRECT(SUBSTITUTE($J69," ","")&amp;"Manufactures"),2,0),"Требуется код страны"))</f>
        <v>Бангладеш</v>
      </c>
      <c r="AU69" s="76">
        <f t="shared" si="2"/>
        <v>0.1</v>
      </c>
      <c r="AV69" s="43">
        <f t="shared" si="3"/>
        <v>0.15000000000000002</v>
      </c>
      <c r="AW69" s="43">
        <f t="shared" si="4"/>
        <v>1.7000000000000002</v>
      </c>
      <c r="AX69" s="43">
        <f t="shared" si="5"/>
        <v>2.5500000000000003</v>
      </c>
      <c r="AY69" s="155">
        <v>5.73764705882353</v>
      </c>
      <c r="AZ69" s="156">
        <f t="shared" si="6"/>
        <v>97.54</v>
      </c>
      <c r="BA69" s="45">
        <f>IF(A69&lt;&gt;"",IF(_xlfn.XLOOKUP(A69,'1C'!A:A,'1C'!A:A,0,0)&gt;0,1,0),"")</f>
        <v>0</v>
      </c>
      <c r="BB69" s="149">
        <f>IF(C69&lt;&gt;"",IF(_xlfn.XLOOKUP(C69,'1C'!S:S,'1C'!S:S,0,0)&gt;0,0,1),"")</f>
        <v>0</v>
      </c>
      <c r="BC69" s="73">
        <f t="shared" si="7"/>
        <v>1</v>
      </c>
    </row>
    <row r="70" spans="1:55" ht="128.65" customHeight="1">
      <c r="A70" s="43" t="str">
        <f t="shared" si="0"/>
        <v>21015A-YOGlight orange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06-383-13</v>
      </c>
      <c r="C70" s="44" t="s">
        <v>2109</v>
      </c>
      <c r="D70" s="43" t="str">
        <f>VLOOKUP(C70,Names!A:B,2,0)</f>
        <v>YOMIURI GIANTS Micro Slouch NPN</v>
      </c>
      <c r="E70" s="43" t="str">
        <f>IF(F70&lt;&gt;"",IFERROR(VLOOKUP(F70,Категории!A:B,2,0),""),"Требуется категория")</f>
        <v>Бейсболки</v>
      </c>
      <c r="F70" s="44" t="s">
        <v>2315</v>
      </c>
      <c r="G70" s="63" t="s">
        <v>884</v>
      </c>
      <c r="H70" s="44" t="s">
        <v>388</v>
      </c>
      <c r="J70" s="43" t="str">
        <f>'1C'!$AF$1</f>
        <v>American Needle</v>
      </c>
      <c r="K70" s="104" t="s">
        <v>2278</v>
      </c>
      <c r="L70" s="63" t="s">
        <v>199</v>
      </c>
      <c r="M70" s="66"/>
      <c r="N70" s="141" t="str">
        <f>Order!B68</f>
        <v>100% Хлопок</v>
      </c>
      <c r="O70" s="65"/>
      <c r="P70" s="63" t="s">
        <v>43</v>
      </c>
      <c r="Q70" s="59" t="s">
        <v>15</v>
      </c>
      <c r="R70" s="58" t="s">
        <v>382</v>
      </c>
      <c r="S70" s="58">
        <v>24</v>
      </c>
      <c r="V70" s="58"/>
      <c r="X70" s="58"/>
      <c r="Z70" s="58"/>
      <c r="AB70" s="58"/>
      <c r="AD70" s="58"/>
      <c r="AQ70" s="59">
        <f t="shared" si="1"/>
        <v>24</v>
      </c>
      <c r="AR70" s="66" t="str">
        <f>Order!A68</f>
        <v>BD</v>
      </c>
      <c r="AS70" s="56" t="str">
        <f ca="1">IF(BA70&gt;0,_xlfn.XLOOKUP(A70,'1C'!$A:$A,'1C'!P:P,"",0,),IF(AR70&lt;&gt;"",VLOOKUP(AR70,INDIRECT(SUBSTITUTE($J70," ","")&amp;"Manufactures"),3,0),"Требуется код страны"))</f>
        <v>American Needle, Inc; 1275 Busch Parkway, Buffalo Grove, IL 60089, USA</v>
      </c>
      <c r="AT70" s="56" t="str">
        <f ca="1">IF(BA70&gt;0,_xlfn.XLOOKUP(A70,'1C'!$A:$A,'1C'!O:O,"",0),IF(AR70&lt;&gt;"",VLOOKUP(AR70,INDIRECT(SUBSTITUTE($J70," ","")&amp;"Manufactures"),2,0),"Требуется код страны"))</f>
        <v>Бангладеш</v>
      </c>
      <c r="AU70" s="76">
        <f t="shared" si="2"/>
        <v>0.1</v>
      </c>
      <c r="AV70" s="43">
        <f t="shared" si="3"/>
        <v>0.15000000000000002</v>
      </c>
      <c r="AW70" s="43">
        <f t="shared" si="4"/>
        <v>2.4000000000000004</v>
      </c>
      <c r="AX70" s="43">
        <f t="shared" si="5"/>
        <v>3.6000000000000005</v>
      </c>
      <c r="AY70" s="155">
        <v>7.6499999999999995</v>
      </c>
      <c r="AZ70" s="156">
        <f t="shared" si="6"/>
        <v>183.6</v>
      </c>
      <c r="BA70" s="45">
        <f>IF(A70&lt;&gt;"",IF(_xlfn.XLOOKUP(A70,'1C'!A:A,'1C'!A:A,0,0)&gt;0,1,0),"")</f>
        <v>0</v>
      </c>
      <c r="BB70" s="149">
        <f>IF(C70&lt;&gt;"",IF(_xlfn.XLOOKUP(C70,'1C'!S:S,'1C'!S:S,0,0)&gt;0,0,1),"")</f>
        <v>0</v>
      </c>
      <c r="BC70" s="73">
        <f t="shared" si="7"/>
        <v>1</v>
      </c>
    </row>
    <row r="71" spans="1:55" ht="133.69999999999999" customHeight="1">
      <c r="A71" s="43" t="str">
        <f t="shared" si="0"/>
        <v>21015B-YOWemerald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06-384-11</v>
      </c>
      <c r="C71" s="44" t="s">
        <v>2110</v>
      </c>
      <c r="D71" s="43" t="str">
        <f>VLOOKUP(C71,Names!A:B,2,0)</f>
        <v>Yokohama Whales Micro Slouch</v>
      </c>
      <c r="E71" s="43" t="str">
        <f>IF(F71&lt;&gt;"",IFERROR(VLOOKUP(F71,Категории!A:B,2,0),""),"Требуется категория")</f>
        <v>Бейсболки</v>
      </c>
      <c r="F71" s="44" t="s">
        <v>2315</v>
      </c>
      <c r="G71" s="63" t="s">
        <v>884</v>
      </c>
      <c r="H71" s="44" t="s">
        <v>388</v>
      </c>
      <c r="J71" s="43" t="str">
        <f>'1C'!$AF$1</f>
        <v>American Needle</v>
      </c>
      <c r="K71" s="104" t="s">
        <v>2279</v>
      </c>
      <c r="L71" s="63" t="s">
        <v>60</v>
      </c>
      <c r="M71" s="66"/>
      <c r="N71" s="141" t="str">
        <f>Order!B69</f>
        <v>100% Хлопок</v>
      </c>
      <c r="O71" s="65"/>
      <c r="P71" s="63" t="s">
        <v>43</v>
      </c>
      <c r="Q71" s="59" t="s">
        <v>15</v>
      </c>
      <c r="R71" s="58" t="s">
        <v>382</v>
      </c>
      <c r="S71" s="58">
        <v>24</v>
      </c>
      <c r="V71" s="58"/>
      <c r="X71" s="58"/>
      <c r="Z71" s="58"/>
      <c r="AB71" s="58"/>
      <c r="AD71" s="58"/>
      <c r="AQ71" s="59">
        <f t="shared" si="1"/>
        <v>24</v>
      </c>
      <c r="AR71" s="66" t="str">
        <f>Order!A69</f>
        <v>BD</v>
      </c>
      <c r="AS71" s="56" t="str">
        <f ca="1">IF(BA71&gt;0,_xlfn.XLOOKUP(A71,'1C'!$A:$A,'1C'!P:P,"",0,),IF(AR71&lt;&gt;"",VLOOKUP(AR71,INDIRECT(SUBSTITUTE($J71," ","")&amp;"Manufactures"),3,0),"Требуется код страны"))</f>
        <v>American Needle, Inc; 1275 Busch Parkway, Buffalo Grove, IL 60089, USA</v>
      </c>
      <c r="AT71" s="56" t="str">
        <f ca="1">IF(BA71&gt;0,_xlfn.XLOOKUP(A71,'1C'!$A:$A,'1C'!O:O,"",0),IF(AR71&lt;&gt;"",VLOOKUP(AR71,INDIRECT(SUBSTITUTE($J71," ","")&amp;"Manufactures"),2,0),"Требуется код страны"))</f>
        <v>Бангладеш</v>
      </c>
      <c r="AU71" s="76">
        <f t="shared" si="2"/>
        <v>0.1</v>
      </c>
      <c r="AV71" s="43">
        <f t="shared" si="3"/>
        <v>0.15000000000000002</v>
      </c>
      <c r="AW71" s="43">
        <f t="shared" si="4"/>
        <v>2.4000000000000004</v>
      </c>
      <c r="AX71" s="43">
        <f t="shared" si="5"/>
        <v>3.6000000000000005</v>
      </c>
      <c r="AY71" s="155">
        <v>7.6499999999999995</v>
      </c>
      <c r="AZ71" s="156">
        <f t="shared" si="6"/>
        <v>183.6</v>
      </c>
      <c r="BA71" s="45">
        <f>IF(A71&lt;&gt;"",IF(_xlfn.XLOOKUP(A71,'1C'!A:A,'1C'!A:A,0,0)&gt;0,1,0),"")</f>
        <v>0</v>
      </c>
      <c r="BB71" s="149">
        <f>IF(C71&lt;&gt;"",IF(_xlfn.XLOOKUP(C71,'1C'!S:S,'1C'!S:S,0,0)&gt;0,0,1),"")</f>
        <v>0</v>
      </c>
      <c r="BC71" s="73">
        <f t="shared" si="7"/>
        <v>1</v>
      </c>
    </row>
    <row r="72" spans="1:55" ht="119.65" customHeight="1">
      <c r="A72" s="43" t="str">
        <f t="shared" si="0"/>
        <v>21016A-GSMTvapor blue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06-385-19</v>
      </c>
      <c r="C72" s="44" t="s">
        <v>2111</v>
      </c>
      <c r="D72" s="43" t="str">
        <f>VLOOKUP(C72,Names!A:B,2,0)</f>
        <v>Great Smoky Mnt Trailhead NP</v>
      </c>
      <c r="E72" s="43" t="str">
        <f>IF(F72&lt;&gt;"",IFERROR(VLOOKUP(F72,Категории!A:B,2,0),""),"Требуется категория")</f>
        <v>Бейсболки</v>
      </c>
      <c r="F72" s="44" t="s">
        <v>2315</v>
      </c>
      <c r="G72" s="63" t="s">
        <v>884</v>
      </c>
      <c r="H72" s="44" t="s">
        <v>388</v>
      </c>
      <c r="J72" s="43" t="str">
        <f>'1C'!$AF$1</f>
        <v>American Needle</v>
      </c>
      <c r="K72" s="104" t="s">
        <v>2280</v>
      </c>
      <c r="L72" s="58" t="s">
        <v>91</v>
      </c>
      <c r="M72" s="66"/>
      <c r="N72" s="141" t="str">
        <f>Order!B70</f>
        <v>100% Хлопок</v>
      </c>
      <c r="O72" s="65"/>
      <c r="P72" s="63" t="s">
        <v>43</v>
      </c>
      <c r="Q72" s="59" t="s">
        <v>15</v>
      </c>
      <c r="R72" s="58" t="s">
        <v>382</v>
      </c>
      <c r="S72" s="58">
        <v>37</v>
      </c>
      <c r="V72" s="58"/>
      <c r="X72" s="58"/>
      <c r="Z72" s="58"/>
      <c r="AB72" s="58"/>
      <c r="AD72" s="58"/>
      <c r="AQ72" s="59">
        <f t="shared" si="1"/>
        <v>37</v>
      </c>
      <c r="AR72" s="66" t="str">
        <f>Order!A70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American Needle, Inc; 1275 Busch Parkway, Buffalo Grove, IL 60089, USA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3.7</v>
      </c>
      <c r="AX72" s="43">
        <f t="shared" si="5"/>
        <v>5.5500000000000007</v>
      </c>
      <c r="AY72" s="155">
        <v>6.8</v>
      </c>
      <c r="AZ72" s="156">
        <f t="shared" si="6"/>
        <v>251.6</v>
      </c>
      <c r="BA72" s="45">
        <f>IF(A72&lt;&gt;"",IF(_xlfn.XLOOKUP(A72,'1C'!A:A,'1C'!A:A,0,0)&gt;0,1,0),"")</f>
        <v>0</v>
      </c>
      <c r="BB72" s="149">
        <f>IF(C72&lt;&gt;"",IF(_xlfn.XLOOKUP(C72,'1C'!S:S,'1C'!S:S,0,0)&gt;0,0,1),"")</f>
        <v>0</v>
      </c>
      <c r="BC72" s="73">
        <f t="shared" si="7"/>
        <v>1</v>
      </c>
    </row>
    <row r="73" spans="1:55" ht="119.65" customHeight="1">
      <c r="A73" s="43" t="str">
        <f t="shared" si="0"/>
        <v>21016A-OLNPcinder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06-386-08</v>
      </c>
      <c r="C73" s="44" t="s">
        <v>2112</v>
      </c>
      <c r="D73" s="43" t="str">
        <f>VLOOKUP(C73,Names!A:B,2,0)</f>
        <v>Olympic Trailhead NP</v>
      </c>
      <c r="E73" s="43" t="str">
        <f>IF(F73&lt;&gt;"",IFERROR(VLOOKUP(F73,Категории!A:B,2,0),""),"Требуется категория")</f>
        <v>Бейсболки</v>
      </c>
      <c r="F73" s="44" t="s">
        <v>2315</v>
      </c>
      <c r="G73" s="63" t="s">
        <v>884</v>
      </c>
      <c r="H73" s="44" t="s">
        <v>388</v>
      </c>
      <c r="J73" s="43" t="str">
        <f>'1C'!$AF$1</f>
        <v>American Needle</v>
      </c>
      <c r="K73" s="104" t="s">
        <v>2281</v>
      </c>
      <c r="L73" s="58" t="s">
        <v>83</v>
      </c>
      <c r="M73" s="66"/>
      <c r="N73" s="141" t="str">
        <f>Order!B71</f>
        <v>100% Хлопок</v>
      </c>
      <c r="O73" s="65"/>
      <c r="P73" s="63" t="s">
        <v>43</v>
      </c>
      <c r="Q73" s="59" t="s">
        <v>15</v>
      </c>
      <c r="R73" s="58" t="s">
        <v>382</v>
      </c>
      <c r="S73" s="58">
        <v>21</v>
      </c>
      <c r="V73" s="58"/>
      <c r="X73" s="58"/>
      <c r="Z73" s="58"/>
      <c r="AB73" s="58"/>
      <c r="AD73" s="58"/>
      <c r="AQ73" s="59">
        <f t="shared" si="1"/>
        <v>21</v>
      </c>
      <c r="AR73" s="66" t="str">
        <f>Order!A71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American Needle, Inc; 1275 Busch Parkway, Buffalo Grove, IL 60089, USA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2.1</v>
      </c>
      <c r="AX73" s="43">
        <f t="shared" si="5"/>
        <v>3.1500000000000004</v>
      </c>
      <c r="AY73" s="155">
        <v>6.8000000000000007</v>
      </c>
      <c r="AZ73" s="156">
        <f t="shared" si="6"/>
        <v>142.80000000000001</v>
      </c>
      <c r="BA73" s="45">
        <f>IF(A73&lt;&gt;"",IF(_xlfn.XLOOKUP(A73,'1C'!A:A,'1C'!A:A,0,0)&gt;0,1,0),"")</f>
        <v>0</v>
      </c>
      <c r="BB73" s="149">
        <f>IF(C73&lt;&gt;"",IF(_xlfn.XLOOKUP(C73,'1C'!S:S,'1C'!S:S,0,0)&gt;0,0,1),"")</f>
        <v>0</v>
      </c>
      <c r="BC73" s="73">
        <f t="shared" si="7"/>
        <v>1</v>
      </c>
    </row>
    <row r="74" spans="1:55" ht="115.7" customHeight="1">
      <c r="A74" s="43" t="str">
        <f t="shared" si="0"/>
        <v>21016A-SAGNPoxide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06-387-13</v>
      </c>
      <c r="C74" s="44" t="s">
        <v>2113</v>
      </c>
      <c r="D74" s="43" t="str">
        <f>VLOOKUP(C74,Names!A:B,2,0)</f>
        <v>Saguaro Trailhead NP</v>
      </c>
      <c r="E74" s="43" t="str">
        <f>IF(F74&lt;&gt;"",IFERROR(VLOOKUP(F74,Категории!A:B,2,0),""),"Требуется категория")</f>
        <v>Бейсболки</v>
      </c>
      <c r="F74" s="44" t="s">
        <v>2315</v>
      </c>
      <c r="G74" s="63" t="s">
        <v>884</v>
      </c>
      <c r="H74" s="44" t="s">
        <v>388</v>
      </c>
      <c r="J74" s="43" t="str">
        <f>'1C'!$AF$1</f>
        <v>American Needle</v>
      </c>
      <c r="K74" s="104" t="s">
        <v>2282</v>
      </c>
      <c r="L74" s="58" t="s">
        <v>199</v>
      </c>
      <c r="M74" s="66"/>
      <c r="N74" s="141" t="str">
        <f>Order!B72</f>
        <v>100% Хлопок</v>
      </c>
      <c r="O74" s="65"/>
      <c r="P74" s="63" t="s">
        <v>43</v>
      </c>
      <c r="Q74" s="59" t="s">
        <v>15</v>
      </c>
      <c r="R74" s="58" t="s">
        <v>382</v>
      </c>
      <c r="S74" s="58">
        <v>34</v>
      </c>
      <c r="V74" s="58"/>
      <c r="X74" s="58"/>
      <c r="Z74" s="58"/>
      <c r="AB74" s="58"/>
      <c r="AD74" s="58"/>
      <c r="AQ74" s="59">
        <f t="shared" si="1"/>
        <v>34</v>
      </c>
      <c r="AR74" s="66" t="str">
        <f>Order!A72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American Needle, Inc; 1275 Busch Parkway, Buffalo Grove, IL 60089, USA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3.4000000000000004</v>
      </c>
      <c r="AX74" s="43">
        <f t="shared" si="5"/>
        <v>5.1000000000000005</v>
      </c>
      <c r="AY74" s="155">
        <v>6.8</v>
      </c>
      <c r="AZ74" s="156">
        <f t="shared" si="6"/>
        <v>231.2</v>
      </c>
      <c r="BA74" s="45">
        <f>IF(A74&lt;&gt;"",IF(_xlfn.XLOOKUP(A74,'1C'!A:A,'1C'!A:A,0,0)&gt;0,1,0),"")</f>
        <v>0</v>
      </c>
      <c r="BB74" s="149">
        <f>IF(C74&lt;&gt;"",IF(_xlfn.XLOOKUP(C74,'1C'!S:S,'1C'!S:S,0,0)&gt;0,0,1),"")</f>
        <v>0</v>
      </c>
      <c r="BC74" s="73">
        <f t="shared" si="7"/>
        <v>1</v>
      </c>
    </row>
    <row r="75" spans="1:55" ht="120.6" customHeight="1">
      <c r="A75" s="43" t="str">
        <f t="shared" si="0"/>
        <v>21016A-YNPcanopy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06-388-11</v>
      </c>
      <c r="C75" s="44" t="s">
        <v>2114</v>
      </c>
      <c r="D75" s="43" t="str">
        <f>VLOOKUP(C75,Names!A:B,2,0)</f>
        <v>YELLOWSTONE Trailhead NP</v>
      </c>
      <c r="E75" s="43" t="str">
        <f>IF(F75&lt;&gt;"",IFERROR(VLOOKUP(F75,Категории!A:B,2,0),""),"Требуется категория")</f>
        <v>Бейсболки</v>
      </c>
      <c r="F75" s="44" t="s">
        <v>2315</v>
      </c>
      <c r="G75" s="63" t="s">
        <v>884</v>
      </c>
      <c r="H75" s="44" t="s">
        <v>388</v>
      </c>
      <c r="J75" s="43" t="str">
        <f>'1C'!$AF$1</f>
        <v>American Needle</v>
      </c>
      <c r="K75" s="104" t="s">
        <v>2283</v>
      </c>
      <c r="L75" s="58" t="s">
        <v>60</v>
      </c>
      <c r="M75" s="66"/>
      <c r="N75" s="141" t="str">
        <f>Order!B73</f>
        <v>100% Хлопок</v>
      </c>
      <c r="O75" s="65"/>
      <c r="P75" s="63" t="s">
        <v>43</v>
      </c>
      <c r="Q75" s="59" t="s">
        <v>15</v>
      </c>
      <c r="R75" s="58" t="s">
        <v>382</v>
      </c>
      <c r="S75" s="58">
        <v>37</v>
      </c>
      <c r="V75" s="58"/>
      <c r="X75" s="58"/>
      <c r="Z75" s="58"/>
      <c r="AB75" s="58"/>
      <c r="AD75" s="58"/>
      <c r="AQ75" s="59">
        <f t="shared" si="1"/>
        <v>37</v>
      </c>
      <c r="AR75" s="66" t="str">
        <f>Order!A73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American Needle, Inc; 1275 Busch Parkway, Buffalo Grove, IL 60089, USA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3.7</v>
      </c>
      <c r="AX75" s="43">
        <f t="shared" si="5"/>
        <v>5.5500000000000007</v>
      </c>
      <c r="AY75" s="155">
        <v>6.8</v>
      </c>
      <c r="AZ75" s="156">
        <f t="shared" si="6"/>
        <v>251.6</v>
      </c>
      <c r="BA75" s="45">
        <f>IF(A75&lt;&gt;"",IF(_xlfn.XLOOKUP(A75,'1C'!A:A,'1C'!A:A,0,0)&gt;0,1,0),"")</f>
        <v>0</v>
      </c>
      <c r="BB75" s="149">
        <f>IF(C75&lt;&gt;"",IF(_xlfn.XLOOKUP(C75,'1C'!S:S,'1C'!S:S,0,0)&gt;0,0,1),"")</f>
        <v>0</v>
      </c>
      <c r="BC75" s="73">
        <f t="shared" si="7"/>
        <v>1</v>
      </c>
    </row>
    <row r="76" spans="1:55" ht="166.7" customHeight="1">
      <c r="A76" s="43" t="str">
        <f t="shared" si="0"/>
        <v>21019A-ACDCblack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06-389-09</v>
      </c>
      <c r="C76" s="44" t="s">
        <v>2115</v>
      </c>
      <c r="D76" s="43" t="str">
        <f>VLOOKUP(C76,Names!A:B,2,0)</f>
        <v>ACDC Cuffed Knit</v>
      </c>
      <c r="E76" s="43" t="str">
        <f>IF(F76&lt;&gt;"",IFERROR(VLOOKUP(F76,Категории!A:B,2,0),""),"Требуется категория")</f>
        <v>Шапки</v>
      </c>
      <c r="F76" s="44" t="s">
        <v>340</v>
      </c>
      <c r="G76" s="63" t="s">
        <v>2313</v>
      </c>
      <c r="H76" s="44" t="s">
        <v>389</v>
      </c>
      <c r="J76" s="43" t="str">
        <f>'1C'!$AF$1</f>
        <v>American Needle</v>
      </c>
      <c r="K76" s="104" t="s">
        <v>819</v>
      </c>
      <c r="L76" s="59" t="str">
        <f>IF(K76&lt;&gt;"",IFERROR(VLOOKUP(A76,'1C'!A:T,8,0),IFERROR(VLOOKUP(K76,Colors!D:E,2,0),"")),"")</f>
        <v>черный</v>
      </c>
      <c r="M76" s="145" t="str">
        <f>IF(K76&lt;&gt;"",IFERROR(VLOOKUP(A76,'1C'!A:T,18,0),IFERROR(VLOOKUP(K76,Colors!D:E,2,0),"")),"")</f>
        <v>черный</v>
      </c>
      <c r="N76" s="141" t="str">
        <f>Order!B74</f>
        <v>100% Акрил</v>
      </c>
      <c r="O76" s="65"/>
      <c r="P76" s="63" t="s">
        <v>46</v>
      </c>
      <c r="Q76" s="59" t="s">
        <v>34</v>
      </c>
      <c r="R76" s="58" t="s">
        <v>382</v>
      </c>
      <c r="S76" s="58">
        <v>36</v>
      </c>
      <c r="V76" s="58"/>
      <c r="X76" s="58"/>
      <c r="Z76" s="58"/>
      <c r="AB76" s="58"/>
      <c r="AD76" s="58"/>
      <c r="AQ76" s="59">
        <f t="shared" si="1"/>
        <v>36</v>
      </c>
      <c r="AR76" s="66" t="str">
        <f>Order!A74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American Needle, Inc; 1275 Busch Parkway, Buffalo Grove, IL 60089, USA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3.6</v>
      </c>
      <c r="AX76" s="43">
        <f t="shared" si="5"/>
        <v>5.4</v>
      </c>
      <c r="AY76" s="155">
        <v>7.0124999999999993</v>
      </c>
      <c r="AZ76" s="156">
        <f t="shared" si="6"/>
        <v>252.45</v>
      </c>
      <c r="BA76" s="45">
        <f>IF(A76&lt;&gt;"",IF(_xlfn.XLOOKUP(A76,'1C'!A:A,'1C'!A:A,0,0)&gt;0,1,0),"")</f>
        <v>0</v>
      </c>
      <c r="BB76" s="149">
        <f>IF(C76&lt;&gt;"",IF(_xlfn.XLOOKUP(C76,'1C'!S:S,'1C'!S:S,0,0)&gt;0,0,1),"")</f>
        <v>0</v>
      </c>
      <c r="BC76" s="73">
        <f t="shared" si="7"/>
        <v>1</v>
      </c>
    </row>
    <row r="77" spans="1:55" ht="171.75" customHeight="1">
      <c r="A77" s="43" t="str">
        <f t="shared" si="0"/>
        <v>21019A-BOWIblack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06-390-09</v>
      </c>
      <c r="C77" s="44" t="s">
        <v>2116</v>
      </c>
      <c r="D77" s="43" t="str">
        <f>VLOOKUP(C77,Names!A:B,2,0)</f>
        <v>BOWIE Cuffed Knit</v>
      </c>
      <c r="E77" s="43" t="str">
        <f>IF(F77&lt;&gt;"",IFERROR(VLOOKUP(F77,Категории!A:B,2,0),""),"Требуется категория")</f>
        <v>Шапки</v>
      </c>
      <c r="F77" s="44" t="s">
        <v>340</v>
      </c>
      <c r="G77" s="63" t="s">
        <v>2313</v>
      </c>
      <c r="H77" s="44" t="s">
        <v>389</v>
      </c>
      <c r="J77" s="43" t="str">
        <f>'1C'!$AF$1</f>
        <v>American Needle</v>
      </c>
      <c r="K77" s="104" t="s">
        <v>819</v>
      </c>
      <c r="L77" s="56" t="str">
        <f>IF(K77&lt;&gt;"",IFERROR(VLOOKUP(A77,'1C'!A:T,8,0),IFERROR(VLOOKUP(K77,Colors!D:E,2,0),"")),"")</f>
        <v>черный</v>
      </c>
      <c r="M77" s="145" t="str">
        <f>IF(K77&lt;&gt;"",IFERROR(VLOOKUP(A77,'1C'!A:T,18,0),IFERROR(VLOOKUP(K77,Colors!D:E,2,0),"")),"")</f>
        <v>черный</v>
      </c>
      <c r="N77" s="141" t="str">
        <f>Order!B75</f>
        <v>100% Акрил</v>
      </c>
      <c r="O77" s="65"/>
      <c r="P77" s="63" t="s">
        <v>46</v>
      </c>
      <c r="Q77" s="59" t="s">
        <v>34</v>
      </c>
      <c r="R77" s="58" t="s">
        <v>382</v>
      </c>
      <c r="S77" s="58">
        <v>18</v>
      </c>
      <c r="V77" s="58"/>
      <c r="X77" s="58"/>
      <c r="Z77" s="58"/>
      <c r="AB77" s="58"/>
      <c r="AD77" s="58"/>
      <c r="AQ77" s="59">
        <f t="shared" si="1"/>
        <v>18</v>
      </c>
      <c r="AR77" s="66" t="str">
        <f>Order!A75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American Needle, Inc; 1275 Busch Parkway, Buffalo Grove, IL 60089, USA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1.8</v>
      </c>
      <c r="AX77" s="43">
        <f t="shared" si="5"/>
        <v>2.7</v>
      </c>
      <c r="AY77" s="155">
        <v>7.012777777777778</v>
      </c>
      <c r="AZ77" s="156">
        <f t="shared" si="6"/>
        <v>126.23</v>
      </c>
      <c r="BA77" s="45">
        <f>IF(A77&lt;&gt;"",IF(_xlfn.XLOOKUP(A77,'1C'!A:A,'1C'!A:A,0,0)&gt;0,1,0),"")</f>
        <v>0</v>
      </c>
      <c r="BB77" s="149">
        <f>IF(C77&lt;&gt;"",IF(_xlfn.XLOOKUP(C77,'1C'!S:S,'1C'!S:S,0,0)&gt;0,0,1),"")</f>
        <v>0</v>
      </c>
      <c r="BC77" s="73">
        <f t="shared" si="7"/>
        <v>1</v>
      </c>
    </row>
    <row r="78" spans="1:55" ht="168.4" customHeight="1">
      <c r="A78" s="43" t="str">
        <f t="shared" si="0"/>
        <v>21019A-CALIblack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06-391-09</v>
      </c>
      <c r="C78" s="44" t="s">
        <v>2117</v>
      </c>
      <c r="D78" s="43" t="str">
        <f>VLOOKUP(C78,Names!A:B,2,0)</f>
        <v>CALI Cuffed Knit</v>
      </c>
      <c r="E78" s="43" t="str">
        <f>IF(F78&lt;&gt;"",IFERROR(VLOOKUP(F78,Категории!A:B,2,0),""),"Требуется категория")</f>
        <v>Шапки</v>
      </c>
      <c r="F78" s="44" t="s">
        <v>340</v>
      </c>
      <c r="G78" s="63" t="s">
        <v>884</v>
      </c>
      <c r="H78" s="44" t="s">
        <v>389</v>
      </c>
      <c r="J78" s="43" t="str">
        <f>'1C'!$AF$1</f>
        <v>American Needle</v>
      </c>
      <c r="K78" s="104" t="s">
        <v>819</v>
      </c>
      <c r="L78" s="59" t="str">
        <f>IF(K78&lt;&gt;"",IFERROR(VLOOKUP(A78,'1C'!A:T,8,0),IFERROR(VLOOKUP(K78,Colors!D:E,2,0),"")),"")</f>
        <v>черный</v>
      </c>
      <c r="M78" s="145" t="str">
        <f>IF(K78&lt;&gt;"",IFERROR(VLOOKUP(A78,'1C'!A:T,18,0),IFERROR(VLOOKUP(K78,Colors!D:E,2,0),"")),"")</f>
        <v>черный</v>
      </c>
      <c r="N78" s="141" t="str">
        <f>Order!B76</f>
        <v>100% Акрил</v>
      </c>
      <c r="O78" s="65"/>
      <c r="P78" s="63" t="s">
        <v>46</v>
      </c>
      <c r="Q78" s="59" t="s">
        <v>34</v>
      </c>
      <c r="R78" s="58" t="s">
        <v>382</v>
      </c>
      <c r="S78" s="58">
        <v>24</v>
      </c>
      <c r="V78" s="58"/>
      <c r="X78" s="58"/>
      <c r="Z78" s="58"/>
      <c r="AB78" s="58"/>
      <c r="AD78" s="58"/>
      <c r="AQ78" s="59">
        <f t="shared" si="1"/>
        <v>24</v>
      </c>
      <c r="AR78" s="66" t="str">
        <f>Order!A76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American Needle, Inc; 1275 Busch Parkway, Buffalo Grove, IL 60089, USA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2.4000000000000004</v>
      </c>
      <c r="AX78" s="43">
        <f t="shared" si="5"/>
        <v>3.6000000000000005</v>
      </c>
      <c r="AY78" s="155">
        <v>4.6749999999999998</v>
      </c>
      <c r="AZ78" s="156">
        <f t="shared" si="6"/>
        <v>112.19999999999999</v>
      </c>
      <c r="BA78" s="45">
        <f>IF(A78&lt;&gt;"",IF(_xlfn.XLOOKUP(A78,'1C'!A:A,'1C'!A:A,0,0)&gt;0,1,0),"")</f>
        <v>0</v>
      </c>
      <c r="BB78" s="149">
        <f>IF(C78&lt;&gt;"",IF(_xlfn.XLOOKUP(C78,'1C'!S:S,'1C'!S:S,0,0)&gt;0,0,1),"")</f>
        <v>0</v>
      </c>
      <c r="BC78" s="73">
        <f t="shared" si="7"/>
        <v>1</v>
      </c>
    </row>
    <row r="79" spans="1:55" ht="173.45" customHeight="1">
      <c r="A79" s="43" t="str">
        <f t="shared" si="0"/>
        <v>21019A-CBHblack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06-392-09</v>
      </c>
      <c r="C79" s="44" t="s">
        <v>2118</v>
      </c>
      <c r="D79" s="43" t="str">
        <f>VLOOKUP(C79,Names!A:B,2,0)</f>
        <v>CHI BLACKHAWKS Cuffed Knit NHL</v>
      </c>
      <c r="E79" s="43" t="str">
        <f>IF(F79&lt;&gt;"",IFERROR(VLOOKUP(F79,Категории!A:B,2,0),""),"Требуется категория")</f>
        <v>Шапки</v>
      </c>
      <c r="F79" s="44" t="s">
        <v>340</v>
      </c>
      <c r="G79" s="63" t="s">
        <v>884</v>
      </c>
      <c r="H79" s="44" t="s">
        <v>389</v>
      </c>
      <c r="J79" s="43" t="str">
        <f>'1C'!$AF$1</f>
        <v>American Needle</v>
      </c>
      <c r="K79" s="104" t="s">
        <v>819</v>
      </c>
      <c r="L79" s="59" t="str">
        <f>IF(K79&lt;&gt;"",IFERROR(VLOOKUP(A79,'1C'!A:T,8,0),IFERROR(VLOOKUP(K79,Colors!D:E,2,0),"")),"")</f>
        <v>черный</v>
      </c>
      <c r="M79" s="145" t="str">
        <f>IF(K79&lt;&gt;"",IFERROR(VLOOKUP(A79,'1C'!A:T,18,0),IFERROR(VLOOKUP(K79,Colors!D:E,2,0),"")),"")</f>
        <v>черный</v>
      </c>
      <c r="N79" s="141" t="str">
        <f>Order!B77</f>
        <v>100% Акрил</v>
      </c>
      <c r="O79" s="65"/>
      <c r="P79" s="63" t="s">
        <v>46</v>
      </c>
      <c r="Q79" s="59" t="s">
        <v>34</v>
      </c>
      <c r="R79" s="58" t="s">
        <v>382</v>
      </c>
      <c r="S79" s="58">
        <v>24</v>
      </c>
      <c r="V79" s="58"/>
      <c r="X79" s="58"/>
      <c r="Z79" s="58"/>
      <c r="AB79" s="58"/>
      <c r="AD79" s="58"/>
      <c r="AQ79" s="59">
        <f t="shared" si="1"/>
        <v>24</v>
      </c>
      <c r="AR79" s="66" t="str">
        <f>Order!A77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American Needle, Inc; 1275 Busch Parkway, Buffalo Grove, IL 60089, USA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2.4000000000000004</v>
      </c>
      <c r="AX79" s="43">
        <f t="shared" si="5"/>
        <v>3.6000000000000005</v>
      </c>
      <c r="AY79" s="155">
        <v>7.0125000000000002</v>
      </c>
      <c r="AZ79" s="156">
        <f t="shared" si="6"/>
        <v>168.3</v>
      </c>
      <c r="BA79" s="45">
        <f>IF(A79&lt;&gt;"",IF(_xlfn.XLOOKUP(A79,'1C'!A:A,'1C'!A:A,0,0)&gt;0,1,0),"")</f>
        <v>0</v>
      </c>
      <c r="BB79" s="149">
        <f>IF(C79&lt;&gt;"",IF(_xlfn.XLOOKUP(C79,'1C'!S:S,'1C'!S:S,0,0)&gt;0,0,1),"")</f>
        <v>0</v>
      </c>
      <c r="BC79" s="73">
        <f t="shared" si="7"/>
        <v>1</v>
      </c>
    </row>
    <row r="80" spans="1:55" ht="168.4" customHeight="1">
      <c r="A80" s="43" t="str">
        <f t="shared" si="0"/>
        <v>21019A-CHEVYnavy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06-393-16</v>
      </c>
      <c r="C80" s="44" t="s">
        <v>2119</v>
      </c>
      <c r="D80" s="43" t="str">
        <f>VLOOKUP(C80,Names!A:B,2,0)</f>
        <v>Chevrolet Cuffed Knit</v>
      </c>
      <c r="E80" s="43" t="str">
        <f>IF(F80&lt;&gt;"",IFERROR(VLOOKUP(F80,Категории!A:B,2,0),""),"Требуется категория")</f>
        <v>Шапки</v>
      </c>
      <c r="F80" s="44" t="s">
        <v>340</v>
      </c>
      <c r="G80" s="63" t="s">
        <v>884</v>
      </c>
      <c r="H80" s="44" t="s">
        <v>389</v>
      </c>
      <c r="J80" s="43" t="str">
        <f>'1C'!$AF$1</f>
        <v>American Needle</v>
      </c>
      <c r="K80" s="104" t="s">
        <v>818</v>
      </c>
      <c r="L80" s="59" t="str">
        <f>IF(K80&lt;&gt;"",IFERROR(VLOOKUP(A80,'1C'!A:T,8,0),IFERROR(VLOOKUP(K80,Colors!D:E,2,0),"")),"")</f>
        <v>темно-синий</v>
      </c>
      <c r="M80" s="145" t="str">
        <f>IF(K80&lt;&gt;"",IFERROR(VLOOKUP(A80,'1C'!A:T,18,0),IFERROR(VLOOKUP(K80,Colors!D:E,2,0),"")),"")</f>
        <v>темно-синий</v>
      </c>
      <c r="N80" s="141" t="str">
        <f>Order!B78</f>
        <v>100% Акрил</v>
      </c>
      <c r="O80" s="65"/>
      <c r="P80" s="63" t="s">
        <v>46</v>
      </c>
      <c r="Q80" s="59" t="s">
        <v>34</v>
      </c>
      <c r="R80" s="58" t="s">
        <v>382</v>
      </c>
      <c r="S80" s="58">
        <v>12</v>
      </c>
      <c r="V80" s="58"/>
      <c r="X80" s="58"/>
      <c r="Z80" s="58"/>
      <c r="AB80" s="58"/>
      <c r="AD80" s="58"/>
      <c r="AQ80" s="59">
        <f t="shared" si="1"/>
        <v>12</v>
      </c>
      <c r="AR80" s="66" t="str">
        <f>Order!A78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American Needle, Inc; 1275 Busch Parkway, Buffalo Grove, IL 60089, USA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1.2000000000000002</v>
      </c>
      <c r="AX80" s="43">
        <f t="shared" si="5"/>
        <v>1.8000000000000003</v>
      </c>
      <c r="AY80" s="155">
        <v>6.1625000000000005</v>
      </c>
      <c r="AZ80" s="156">
        <f t="shared" si="6"/>
        <v>73.95</v>
      </c>
      <c r="BA80" s="45">
        <f>IF(A80&lt;&gt;"",IF(_xlfn.XLOOKUP(A80,'1C'!A:A,'1C'!A:A,0,0)&gt;0,1,0),"")</f>
        <v>0</v>
      </c>
      <c r="BB80" s="149">
        <f>IF(C80&lt;&gt;"",IF(_xlfn.XLOOKUP(C80,'1C'!S:S,'1C'!S:S,0,0)&gt;0,0,1),"")</f>
        <v>0</v>
      </c>
      <c r="BC80" s="73">
        <f t="shared" si="7"/>
        <v>1</v>
      </c>
    </row>
    <row r="81" spans="1:55" ht="173.45" customHeight="1">
      <c r="A81" s="43" t="str">
        <f t="shared" si="0"/>
        <v>21019A-DASblack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06-394-09</v>
      </c>
      <c r="C81" s="44" t="s">
        <v>2120</v>
      </c>
      <c r="D81" s="43" t="str">
        <f>VLOOKUP(C81,Names!A:B,2,0)</f>
        <v>DAL STARS Cuffed Knit NHL</v>
      </c>
      <c r="E81" s="43" t="str">
        <f>IF(F81&lt;&gt;"",IFERROR(VLOOKUP(F81,Категории!A:B,2,0),""),"Требуется категория")</f>
        <v>Шапки</v>
      </c>
      <c r="F81" s="44" t="s">
        <v>340</v>
      </c>
      <c r="G81" s="63" t="s">
        <v>884</v>
      </c>
      <c r="H81" s="44" t="s">
        <v>389</v>
      </c>
      <c r="J81" s="43" t="str">
        <f>'1C'!$AF$1</f>
        <v>American Needle</v>
      </c>
      <c r="K81" s="104" t="s">
        <v>819</v>
      </c>
      <c r="L81" s="59" t="str">
        <f>IF(K81&lt;&gt;"",IFERROR(VLOOKUP(A81,'1C'!A:T,8,0),IFERROR(VLOOKUP(K81,Colors!D:E,2,0),"")),"")</f>
        <v>черный</v>
      </c>
      <c r="M81" s="145" t="str">
        <f>IF(K81&lt;&gt;"",IFERROR(VLOOKUP(A81,'1C'!A:T,18,0),IFERROR(VLOOKUP(K81,Colors!D:E,2,0),"")),"")</f>
        <v>черный</v>
      </c>
      <c r="N81" s="141" t="str">
        <f>Order!B79</f>
        <v>100% Акрил</v>
      </c>
      <c r="O81" s="65"/>
      <c r="P81" s="63" t="s">
        <v>46</v>
      </c>
      <c r="Q81" s="59" t="s">
        <v>34</v>
      </c>
      <c r="R81" s="58" t="s">
        <v>382</v>
      </c>
      <c r="S81" s="58">
        <v>12</v>
      </c>
      <c r="V81" s="58"/>
      <c r="X81" s="58"/>
      <c r="Z81" s="58"/>
      <c r="AB81" s="58"/>
      <c r="AD81" s="58"/>
      <c r="AQ81" s="59">
        <f t="shared" si="1"/>
        <v>12</v>
      </c>
      <c r="AR81" s="66" t="str">
        <f>Order!A79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American Needle, Inc; 1275 Busch Parkway, Buffalo Grove, IL 60089, USA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1.2000000000000002</v>
      </c>
      <c r="AX81" s="43">
        <f t="shared" si="5"/>
        <v>1.8000000000000003</v>
      </c>
      <c r="AY81" s="155">
        <v>7.0125000000000002</v>
      </c>
      <c r="AZ81" s="156">
        <f t="shared" si="6"/>
        <v>84.15</v>
      </c>
      <c r="BA81" s="45">
        <f>IF(A81&lt;&gt;"",IF(_xlfn.XLOOKUP(A81,'1C'!A:A,'1C'!A:A,0,0)&gt;0,1,0),"")</f>
        <v>0</v>
      </c>
      <c r="BB81" s="149">
        <f>IF(C81&lt;&gt;"",IF(_xlfn.XLOOKUP(C81,'1C'!S:S,'1C'!S:S,0,0)&gt;0,0,1),"")</f>
        <v>0</v>
      </c>
      <c r="BC81" s="73">
        <f t="shared" si="7"/>
        <v>1</v>
      </c>
    </row>
    <row r="82" spans="1:55" ht="164.1" customHeight="1">
      <c r="A82" s="43" t="str">
        <f t="shared" si="0"/>
        <v>21019A-FENDblack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06-395-09</v>
      </c>
      <c r="C82" s="44" t="s">
        <v>2121</v>
      </c>
      <c r="D82" s="43" t="str">
        <f>VLOOKUP(C82,Names!A:B,2,0)</f>
        <v>FENDER Cuffed Knit</v>
      </c>
      <c r="E82" s="43" t="str">
        <f>IF(F82&lt;&gt;"",IFERROR(VLOOKUP(F82,Категории!A:B,2,0),""),"Требуется категория")</f>
        <v>Шапки</v>
      </c>
      <c r="F82" s="44" t="s">
        <v>340</v>
      </c>
      <c r="G82" s="63" t="s">
        <v>884</v>
      </c>
      <c r="H82" s="44" t="s">
        <v>389</v>
      </c>
      <c r="J82" s="43" t="str">
        <f>'1C'!$AF$1</f>
        <v>American Needle</v>
      </c>
      <c r="K82" s="104" t="s">
        <v>819</v>
      </c>
      <c r="L82" s="59" t="str">
        <f>IF(K82&lt;&gt;"",IFERROR(VLOOKUP(A82,'1C'!A:T,8,0),IFERROR(VLOOKUP(K82,Colors!D:E,2,0),"")),"")</f>
        <v>черный</v>
      </c>
      <c r="M82" s="145" t="str">
        <f>IF(K82&lt;&gt;"",IFERROR(VLOOKUP(A82,'1C'!A:T,18,0),IFERROR(VLOOKUP(K82,Colors!D:E,2,0),"")),"")</f>
        <v>черный</v>
      </c>
      <c r="N82" s="141" t="str">
        <f>Order!B80</f>
        <v>100% Акрил</v>
      </c>
      <c r="O82" s="65"/>
      <c r="P82" s="63" t="s">
        <v>46</v>
      </c>
      <c r="Q82" s="59" t="s">
        <v>34</v>
      </c>
      <c r="R82" s="58" t="s">
        <v>382</v>
      </c>
      <c r="S82" s="58">
        <v>36</v>
      </c>
      <c r="V82" s="58"/>
      <c r="X82" s="58"/>
      <c r="Z82" s="58"/>
      <c r="AB82" s="58"/>
      <c r="AD82" s="58"/>
      <c r="AQ82" s="59">
        <f t="shared" si="1"/>
        <v>36</v>
      </c>
      <c r="AR82" s="66" t="str">
        <f>Order!A80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American Needle, Inc; 1275 Busch Parkway, Buffalo Grove, IL 60089, USA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3.6</v>
      </c>
      <c r="AX82" s="43">
        <f t="shared" si="5"/>
        <v>5.4</v>
      </c>
      <c r="AY82" s="155">
        <v>7.0124999999999993</v>
      </c>
      <c r="AZ82" s="156">
        <f t="shared" si="6"/>
        <v>252.45</v>
      </c>
      <c r="BA82" s="45">
        <f>IF(A82&lt;&gt;"",IF(_xlfn.XLOOKUP(A82,'1C'!A:A,'1C'!A:A,0,0)&gt;0,1,0),"")</f>
        <v>0</v>
      </c>
      <c r="BB82" s="149">
        <f>IF(C82&lt;&gt;"",IF(_xlfn.XLOOKUP(C82,'1C'!S:S,'1C'!S:S,0,0)&gt;0,0,1),"")</f>
        <v>0</v>
      </c>
      <c r="BC82" s="73">
        <f t="shared" si="7"/>
        <v>1</v>
      </c>
    </row>
    <row r="83" spans="1:55" ht="168.4" customHeight="1">
      <c r="A83" s="43" t="str">
        <f t="shared" si="0"/>
        <v>21019A-HTCnavy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06-396-16</v>
      </c>
      <c r="C83" s="44" t="s">
        <v>2122</v>
      </c>
      <c r="D83" s="43" t="str">
        <f>VLOOKUP(C83,Names!A:B,2,0)</f>
        <v>HIROSHIMA CARP Cuffed Knit</v>
      </c>
      <c r="E83" s="43" t="str">
        <f>IF(F83&lt;&gt;"",IFERROR(VLOOKUP(F83,Категории!A:B,2,0),""),"Требуется категория")</f>
        <v>Шапки</v>
      </c>
      <c r="F83" s="44" t="s">
        <v>340</v>
      </c>
      <c r="G83" s="63" t="s">
        <v>884</v>
      </c>
      <c r="H83" s="44" t="s">
        <v>389</v>
      </c>
      <c r="J83" s="43" t="str">
        <f>'1C'!$AF$1</f>
        <v>American Needle</v>
      </c>
      <c r="K83" s="104" t="s">
        <v>818</v>
      </c>
      <c r="L83" s="59" t="str">
        <f>IF(K83&lt;&gt;"",IFERROR(VLOOKUP(A83,'1C'!A:T,8,0),IFERROR(VLOOKUP(K83,Colors!D:E,2,0),"")),"")</f>
        <v>темно-синий</v>
      </c>
      <c r="M83" s="145" t="str">
        <f>IF(K83&lt;&gt;"",IFERROR(VLOOKUP(A83,'1C'!A:T,18,0),IFERROR(VLOOKUP(K83,Colors!D:E,2,0),"")),"")</f>
        <v>темно-синий</v>
      </c>
      <c r="N83" s="141" t="str">
        <f>Order!B81</f>
        <v>100% Акрил</v>
      </c>
      <c r="O83" s="65"/>
      <c r="P83" s="63" t="s">
        <v>46</v>
      </c>
      <c r="Q83" s="59" t="s">
        <v>34</v>
      </c>
      <c r="R83" s="58" t="s">
        <v>382</v>
      </c>
      <c r="S83" s="58">
        <v>12</v>
      </c>
      <c r="V83" s="58"/>
      <c r="X83" s="58"/>
      <c r="Z83" s="58"/>
      <c r="AB83" s="58"/>
      <c r="AD83" s="58"/>
      <c r="AQ83" s="59">
        <f t="shared" si="1"/>
        <v>12</v>
      </c>
      <c r="AR83" s="66" t="str">
        <f>Order!A81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American Needle, Inc; 1275 Busch Parkway, Buffalo Grove, IL 60089, USA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1.2000000000000002</v>
      </c>
      <c r="AX83" s="43">
        <f t="shared" si="5"/>
        <v>1.8000000000000003</v>
      </c>
      <c r="AY83" s="155">
        <v>7.0125000000000002</v>
      </c>
      <c r="AZ83" s="156">
        <f t="shared" si="6"/>
        <v>84.15</v>
      </c>
      <c r="BA83" s="45">
        <f>IF(A83&lt;&gt;"",IF(_xlfn.XLOOKUP(A83,'1C'!A:A,'1C'!A:A,0,0)&gt;0,1,0),"")</f>
        <v>0</v>
      </c>
      <c r="BB83" s="149">
        <f>IF(C83&lt;&gt;"",IF(_xlfn.XLOOKUP(C83,'1C'!S:S,'1C'!S:S,0,0)&gt;0,0,1),"")</f>
        <v>0</v>
      </c>
      <c r="BC83" s="73">
        <f t="shared" si="7"/>
        <v>1</v>
      </c>
    </row>
    <row r="84" spans="1:55" ht="164.1" customHeight="1">
      <c r="A84" s="43" t="str">
        <f t="shared" si="0"/>
        <v>21019A-LAKblack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06-397-09</v>
      </c>
      <c r="C84" s="44" t="s">
        <v>2123</v>
      </c>
      <c r="D84" s="43" t="str">
        <f>VLOOKUP(C84,Names!A:B,2,0)</f>
        <v>LA KINGS Cuffed Knit NHL</v>
      </c>
      <c r="E84" s="43" t="str">
        <f>IF(F84&lt;&gt;"",IFERROR(VLOOKUP(F84,Категории!A:B,2,0),""),"Требуется категория")</f>
        <v>Шапки</v>
      </c>
      <c r="F84" s="44" t="s">
        <v>340</v>
      </c>
      <c r="G84" s="63" t="s">
        <v>884</v>
      </c>
      <c r="H84" s="44" t="s">
        <v>389</v>
      </c>
      <c r="J84" s="43" t="str">
        <f>'1C'!$AF$1</f>
        <v>American Needle</v>
      </c>
      <c r="K84" s="104" t="s">
        <v>819</v>
      </c>
      <c r="L84" s="59" t="str">
        <f>IF(K84&lt;&gt;"",IFERROR(VLOOKUP(A84,'1C'!A:T,8,0),IFERROR(VLOOKUP(K84,Colors!D:E,2,0),"")),"")</f>
        <v>черный</v>
      </c>
      <c r="M84" s="145" t="str">
        <f>IF(K84&lt;&gt;"",IFERROR(VLOOKUP(A84,'1C'!A:T,18,0),IFERROR(VLOOKUP(K84,Colors!D:E,2,0),"")),"")</f>
        <v>черный</v>
      </c>
      <c r="N84" s="141" t="str">
        <f>Order!B82</f>
        <v>100% Акрил</v>
      </c>
      <c r="O84" s="65"/>
      <c r="P84" s="44" t="s">
        <v>46</v>
      </c>
      <c r="Q84" s="59" t="s">
        <v>34</v>
      </c>
      <c r="R84" s="58" t="s">
        <v>382</v>
      </c>
      <c r="S84" s="44">
        <v>24</v>
      </c>
      <c r="AQ84" s="59">
        <f t="shared" si="1"/>
        <v>24</v>
      </c>
      <c r="AR84" s="66" t="str">
        <f>Order!A82</f>
        <v>CN</v>
      </c>
      <c r="AS84" s="56" t="str">
        <f ca="1">IF(BA84&gt;0,_xlfn.XLOOKUP(A84,'1C'!$A:$A,'1C'!P:P,"",0,),IF(AR84&lt;&gt;"",VLOOKUP(AR84,INDIRECT(SUBSTITUTE($J84," ","")&amp;"Manufactures"),3,0),"Требуется код страны"))</f>
        <v>American Needle, Inc; 1275 Busch Parkway, Buffalo Grove, IL 60089, USA</v>
      </c>
      <c r="AT84" s="56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>
        <f t="shared" si="4"/>
        <v>2.4000000000000004</v>
      </c>
      <c r="AX84" s="43">
        <f t="shared" si="5"/>
        <v>3.6000000000000005</v>
      </c>
      <c r="AY84" s="155">
        <v>7.0125000000000002</v>
      </c>
      <c r="AZ84" s="156">
        <f t="shared" si="6"/>
        <v>168.3</v>
      </c>
      <c r="BA84" s="45">
        <f>IF(A84&lt;&gt;"",IF(_xlfn.XLOOKUP(A84,'1C'!A:A,'1C'!A:A,0,0)&gt;0,1,0),"")</f>
        <v>0</v>
      </c>
      <c r="BB84" s="150">
        <f>IF(C84&lt;&gt;"",IF(_xlfn.XLOOKUP(C84,'1C'!S:S,'1C'!S:S,0,0)&gt;0,0,1),"")</f>
        <v>0</v>
      </c>
      <c r="BC84" s="45">
        <f t="shared" si="7"/>
        <v>1</v>
      </c>
    </row>
    <row r="85" spans="1:55" ht="168.4" customHeight="1">
      <c r="A85" s="43" t="str">
        <f t="shared" si="0"/>
        <v>21019A-LOSroyal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06-398-06</v>
      </c>
      <c r="C85" s="44" t="s">
        <v>2124</v>
      </c>
      <c r="D85" s="43" t="str">
        <f>VLOOKUP(C85,Names!A:B,2,0)</f>
        <v>LA ANGELS Cuffed Knit MILB</v>
      </c>
      <c r="E85" s="43" t="str">
        <f>IF(F85&lt;&gt;"",IFERROR(VLOOKUP(F85,Категории!A:B,2,0),""),"Требуется категория")</f>
        <v>Шапки</v>
      </c>
      <c r="F85" s="44" t="s">
        <v>340</v>
      </c>
      <c r="G85" s="63" t="s">
        <v>884</v>
      </c>
      <c r="H85" s="44" t="s">
        <v>389</v>
      </c>
      <c r="J85" s="43" t="str">
        <f>'1C'!$AF$1</f>
        <v>American Needle</v>
      </c>
      <c r="K85" s="104" t="s">
        <v>1576</v>
      </c>
      <c r="L85" s="58" t="s">
        <v>71</v>
      </c>
      <c r="M85" s="66"/>
      <c r="N85" s="141" t="str">
        <f>Order!B83</f>
        <v>100% Акрил</v>
      </c>
      <c r="O85" s="65"/>
      <c r="P85" s="44" t="s">
        <v>46</v>
      </c>
      <c r="Q85" s="59" t="s">
        <v>34</v>
      </c>
      <c r="R85" s="58" t="s">
        <v>382</v>
      </c>
      <c r="S85" s="44">
        <v>12</v>
      </c>
      <c r="AQ85" s="59">
        <f t="shared" si="1"/>
        <v>12</v>
      </c>
      <c r="AR85" s="66" t="str">
        <f>Order!A83</f>
        <v>CN</v>
      </c>
      <c r="AS85" s="56" t="str">
        <f ca="1">IF(BA85&gt;0,_xlfn.XLOOKUP(A85,'1C'!$A:$A,'1C'!P:P,"",0,),IF(AR85&lt;&gt;"",VLOOKUP(AR85,INDIRECT(SUBSTITUTE($J85," ","")&amp;"Manufactures"),3,0),"Требуется код страны"))</f>
        <v>American Needle, Inc; 1275 Busch Parkway, Buffalo Grove, IL 60089, USA</v>
      </c>
      <c r="AT85" s="56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>
        <f t="shared" si="4"/>
        <v>1.2000000000000002</v>
      </c>
      <c r="AX85" s="43">
        <f t="shared" si="5"/>
        <v>1.8000000000000003</v>
      </c>
      <c r="AY85" s="155">
        <v>7.0125000000000002</v>
      </c>
      <c r="AZ85" s="156">
        <f t="shared" si="6"/>
        <v>84.15</v>
      </c>
      <c r="BA85" s="45">
        <f>IF(A85&lt;&gt;"",IF(_xlfn.XLOOKUP(A85,'1C'!A:A,'1C'!A:A,0,0)&gt;0,1,0),"")</f>
        <v>0</v>
      </c>
      <c r="BB85" s="150">
        <f>IF(C85&lt;&gt;"",IF(_xlfn.XLOOKUP(C85,'1C'!S:S,'1C'!S:S,0,0)&gt;0,0,1),"")</f>
        <v>0</v>
      </c>
      <c r="BC85" s="45">
        <f t="shared" si="7"/>
        <v>1</v>
      </c>
    </row>
    <row r="86" spans="1:55" ht="167.65" customHeight="1">
      <c r="A86" s="43" t="str">
        <f t="shared" si="0"/>
        <v>21019A-MNWdark green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06-399-07</v>
      </c>
      <c r="C86" s="44" t="s">
        <v>2125</v>
      </c>
      <c r="D86" s="43" t="str">
        <f>VLOOKUP(C86,Names!A:B,2,0)</f>
        <v>MN WILD Cuffed Knit NHL</v>
      </c>
      <c r="E86" s="43" t="str">
        <f>IF(F86&lt;&gt;"",IFERROR(VLOOKUP(F86,Категории!A:B,2,0),""),"Требуется категория")</f>
        <v>Шапки</v>
      </c>
      <c r="F86" s="44" t="s">
        <v>340</v>
      </c>
      <c r="G86" s="63" t="s">
        <v>884</v>
      </c>
      <c r="H86" s="44" t="s">
        <v>389</v>
      </c>
      <c r="J86" s="43" t="str">
        <f>'1C'!$AF$1</f>
        <v>American Needle</v>
      </c>
      <c r="K86" s="104" t="s">
        <v>2284</v>
      </c>
      <c r="L86" s="63" t="s">
        <v>269</v>
      </c>
      <c r="M86" s="66"/>
      <c r="N86" s="141" t="str">
        <f>Order!B84</f>
        <v>100% Акрил</v>
      </c>
      <c r="O86" s="65"/>
      <c r="P86" s="63" t="s">
        <v>46</v>
      </c>
      <c r="Q86" s="59" t="s">
        <v>34</v>
      </c>
      <c r="R86" s="58" t="s">
        <v>382</v>
      </c>
      <c r="S86" s="44">
        <v>12</v>
      </c>
      <c r="AQ86" s="59">
        <f t="shared" si="1"/>
        <v>12</v>
      </c>
      <c r="AR86" s="66" t="str">
        <f>Order!A84</f>
        <v>CN</v>
      </c>
      <c r="AS86" s="56" t="str">
        <f ca="1">IF(BA86&gt;0,_xlfn.XLOOKUP(A86,'1C'!$A:$A,'1C'!P:P,"",0,),IF(AR86&lt;&gt;"",VLOOKUP(AR86,INDIRECT(SUBSTITUTE($J86," ","")&amp;"Manufactures"),3,0),"Требуется код страны"))</f>
        <v>American Needle, Inc; 1275 Busch Parkway, Buffalo Grove, IL 60089, USA</v>
      </c>
      <c r="AT86" s="56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>
        <f t="shared" si="4"/>
        <v>1.2000000000000002</v>
      </c>
      <c r="AX86" s="43">
        <f t="shared" si="5"/>
        <v>1.8000000000000003</v>
      </c>
      <c r="AY86" s="155">
        <v>7.0125000000000002</v>
      </c>
      <c r="AZ86" s="156">
        <f t="shared" si="6"/>
        <v>84.15</v>
      </c>
      <c r="BA86" s="45">
        <f>IF(A86&lt;&gt;"",IF(_xlfn.XLOOKUP(A86,'1C'!A:A,'1C'!A:A,0,0)&gt;0,1,0),"")</f>
        <v>0</v>
      </c>
      <c r="BB86" s="150">
        <f>IF(C86&lt;&gt;"",IF(_xlfn.XLOOKUP(C86,'1C'!S:S,'1C'!S:S,0,0)&gt;0,0,1),"")</f>
        <v>0</v>
      </c>
      <c r="BC86" s="45">
        <f t="shared" si="7"/>
        <v>1</v>
      </c>
    </row>
    <row r="87" spans="1:55" ht="168.4" customHeight="1">
      <c r="A87" s="43" t="str">
        <f t="shared" si="0"/>
        <v>21019A-NAPnavy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06-400-16</v>
      </c>
      <c r="C87" s="44" t="s">
        <v>2126</v>
      </c>
      <c r="D87" s="43" t="str">
        <f>VLOOKUP(C87,Names!A:B,2,0)</f>
        <v>NAS PREDATORS Cuffed Knit NHL</v>
      </c>
      <c r="E87" s="43" t="str">
        <f>IF(F87&lt;&gt;"",IFERROR(VLOOKUP(F87,Категории!A:B,2,0),""),"Требуется категория")</f>
        <v>Шапки</v>
      </c>
      <c r="F87" s="44" t="s">
        <v>340</v>
      </c>
      <c r="G87" s="63" t="s">
        <v>884</v>
      </c>
      <c r="H87" s="44" t="s">
        <v>389</v>
      </c>
      <c r="J87" s="43" t="str">
        <f>'1C'!$AF$1</f>
        <v>American Needle</v>
      </c>
      <c r="K87" s="104" t="s">
        <v>818</v>
      </c>
      <c r="L87" s="59" t="str">
        <f>IF(K87&lt;&gt;"",IFERROR(VLOOKUP(A87,'1C'!A:T,8,0),IFERROR(VLOOKUP(K87,Colors!D:E,2,0),"")),"")</f>
        <v>темно-синий</v>
      </c>
      <c r="M87" s="145" t="str">
        <f>IF(K87&lt;&gt;"",IFERROR(VLOOKUP(A87,'1C'!A:T,18,0),IFERROR(VLOOKUP(K87,Colors!D:E,2,0),"")),"")</f>
        <v>темно-синий</v>
      </c>
      <c r="N87" s="141" t="str">
        <f>Order!B85</f>
        <v>100% Акрил</v>
      </c>
      <c r="O87" s="65"/>
      <c r="P87" s="44" t="s">
        <v>46</v>
      </c>
      <c r="Q87" s="59" t="s">
        <v>34</v>
      </c>
      <c r="R87" s="58" t="s">
        <v>382</v>
      </c>
      <c r="S87" s="44">
        <v>24</v>
      </c>
      <c r="AQ87" s="59">
        <f t="shared" si="1"/>
        <v>24</v>
      </c>
      <c r="AR87" s="66" t="str">
        <f>Order!A85</f>
        <v>CN</v>
      </c>
      <c r="AS87" s="56" t="str">
        <f ca="1">IF(BA87&gt;0,_xlfn.XLOOKUP(A87,'1C'!$A:$A,'1C'!P:P,"",0,),IF(AR87&lt;&gt;"",VLOOKUP(AR87,INDIRECT(SUBSTITUTE($J87," ","")&amp;"Manufactures"),3,0),"Требуется код страны"))</f>
        <v>American Needle, Inc; 1275 Busch Parkway, Buffalo Grove, IL 60089, USA</v>
      </c>
      <c r="AT87" s="56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>
        <f t="shared" si="4"/>
        <v>2.4000000000000004</v>
      </c>
      <c r="AX87" s="43">
        <f t="shared" si="5"/>
        <v>3.6000000000000005</v>
      </c>
      <c r="AY87" s="155">
        <v>7.0125000000000002</v>
      </c>
      <c r="AZ87" s="156">
        <f t="shared" si="6"/>
        <v>168.3</v>
      </c>
      <c r="BA87" s="45">
        <f>IF(A87&lt;&gt;"",IF(_xlfn.XLOOKUP(A87,'1C'!A:A,'1C'!A:A,0,0)&gt;0,1,0),"")</f>
        <v>0</v>
      </c>
      <c r="BB87" s="150">
        <f>IF(C87&lt;&gt;"",IF(_xlfn.XLOOKUP(C87,'1C'!S:S,'1C'!S:S,0,0)&gt;0,0,1),"")</f>
        <v>0</v>
      </c>
      <c r="BC87" s="45">
        <f t="shared" si="7"/>
        <v>1</v>
      </c>
    </row>
    <row r="88" spans="1:55" ht="173.45" customHeight="1">
      <c r="A88" s="43" t="str">
        <f t="shared" si="0"/>
        <v>21019A-NASAblack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06-401-09</v>
      </c>
      <c r="C88" s="44" t="s">
        <v>2127</v>
      </c>
      <c r="D88" s="43" t="str">
        <f>VLOOKUP(C88,Names!A:B,2,0)</f>
        <v>NASA Cuffed Knit</v>
      </c>
      <c r="E88" s="43" t="str">
        <f>IF(F88&lt;&gt;"",IFERROR(VLOOKUP(F88,Категории!A:B,2,0),""),"Требуется категория")</f>
        <v>Шапки</v>
      </c>
      <c r="F88" s="44" t="s">
        <v>340</v>
      </c>
      <c r="G88" s="63" t="s">
        <v>873</v>
      </c>
      <c r="H88" s="44" t="s">
        <v>389</v>
      </c>
      <c r="J88" s="43" t="str">
        <f>'1C'!$AF$1</f>
        <v>American Needle</v>
      </c>
      <c r="K88" s="104" t="s">
        <v>819</v>
      </c>
      <c r="L88" s="59" t="str">
        <f>IF(K88&lt;&gt;"",IFERROR(VLOOKUP(A88,'1C'!A:T,8,0),IFERROR(VLOOKUP(K88,Colors!D:E,2,0),"")),"")</f>
        <v>черный</v>
      </c>
      <c r="M88" s="145" t="str">
        <f>IF(K88&lt;&gt;"",IFERROR(VLOOKUP(A88,'1C'!A:T,18,0),IFERROR(VLOOKUP(K88,Colors!D:E,2,0),"")),"")</f>
        <v>черный</v>
      </c>
      <c r="N88" s="141" t="str">
        <f>Order!B86</f>
        <v>100% Акрил</v>
      </c>
      <c r="O88" s="65"/>
      <c r="P88" s="44" t="s">
        <v>46</v>
      </c>
      <c r="Q88" s="59" t="s">
        <v>34</v>
      </c>
      <c r="R88" s="58" t="s">
        <v>382</v>
      </c>
      <c r="S88" s="44">
        <v>36</v>
      </c>
      <c r="AQ88" s="59">
        <f t="shared" si="1"/>
        <v>36</v>
      </c>
      <c r="AR88" s="66" t="str">
        <f>Order!A86</f>
        <v>CN</v>
      </c>
      <c r="AS88" s="56" t="str">
        <f ca="1">IF(BA88&gt;0,_xlfn.XLOOKUP(A88,'1C'!$A:$A,'1C'!P:P,"",0,),IF(AR88&lt;&gt;"",VLOOKUP(AR88,INDIRECT(SUBSTITUTE($J88," ","")&amp;"Manufactures"),3,0),"Требуется код страны"))</f>
        <v>American Needle, Inc; 1275 Busch Parkway, Buffalo Grove, IL 60089, USA</v>
      </c>
      <c r="AT88" s="56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>
        <f t="shared" si="4"/>
        <v>3.6</v>
      </c>
      <c r="AX88" s="43">
        <f t="shared" si="5"/>
        <v>5.4</v>
      </c>
      <c r="AY88" s="155">
        <v>4.6750000000000007</v>
      </c>
      <c r="AZ88" s="156">
        <f t="shared" si="6"/>
        <v>168.3</v>
      </c>
      <c r="BA88" s="45">
        <f>IF(A88&lt;&gt;"",IF(_xlfn.XLOOKUP(A88,'1C'!A:A,'1C'!A:A,0,0)&gt;0,1,0),"")</f>
        <v>0</v>
      </c>
      <c r="BB88" s="150">
        <f>IF(C88&lt;&gt;"",IF(_xlfn.XLOOKUP(C88,'1C'!S:S,'1C'!S:S,0,0)&gt;0,0,1),"")</f>
        <v>0</v>
      </c>
      <c r="BC88" s="45">
        <f t="shared" si="7"/>
        <v>1</v>
      </c>
    </row>
    <row r="89" spans="1:55" ht="169.15" customHeight="1">
      <c r="A89" s="43" t="str">
        <f t="shared" si="0"/>
        <v>21019A-PCOblack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06-402-09</v>
      </c>
      <c r="C89" s="44" t="s">
        <v>2128</v>
      </c>
      <c r="D89" s="43" t="str">
        <f>VLOOKUP(C89,Names!A:B,2,0)</f>
        <v>PHO COYOTES Cuffed Knit NHL</v>
      </c>
      <c r="E89" s="43" t="str">
        <f>IF(F89&lt;&gt;"",IFERROR(VLOOKUP(F89,Категории!A:B,2,0),""),"Требуется категория")</f>
        <v>Шапки</v>
      </c>
      <c r="F89" s="44" t="s">
        <v>340</v>
      </c>
      <c r="G89" s="63" t="s">
        <v>884</v>
      </c>
      <c r="H89" s="44" t="s">
        <v>389</v>
      </c>
      <c r="J89" s="43" t="str">
        <f>'1C'!$AF$1</f>
        <v>American Needle</v>
      </c>
      <c r="K89" s="104" t="s">
        <v>819</v>
      </c>
      <c r="L89" s="59" t="str">
        <f>IF(K89&lt;&gt;"",IFERROR(VLOOKUP(A89,'1C'!A:T,8,0),IFERROR(VLOOKUP(K89,Colors!D:E,2,0),"")),"")</f>
        <v>черный</v>
      </c>
      <c r="M89" s="145" t="str">
        <f>IF(K89&lt;&gt;"",IFERROR(VLOOKUP(A89,'1C'!A:T,18,0),IFERROR(VLOOKUP(K89,Colors!D:E,2,0),"")),"")</f>
        <v>черный</v>
      </c>
      <c r="N89" s="141" t="str">
        <f>Order!B87</f>
        <v>100% Акрил</v>
      </c>
      <c r="O89" s="65"/>
      <c r="P89" s="44" t="s">
        <v>46</v>
      </c>
      <c r="Q89" s="59" t="s">
        <v>34</v>
      </c>
      <c r="R89" s="58" t="s">
        <v>382</v>
      </c>
      <c r="S89" s="44">
        <v>12</v>
      </c>
      <c r="AQ89" s="59">
        <f t="shared" si="1"/>
        <v>12</v>
      </c>
      <c r="AR89" s="66" t="str">
        <f>Order!A87</f>
        <v>CN</v>
      </c>
      <c r="AS89" s="56" t="str">
        <f ca="1">IF(BA89&gt;0,_xlfn.XLOOKUP(A89,'1C'!$A:$A,'1C'!P:P,"",0,),IF(AR89&lt;&gt;"",VLOOKUP(AR89,INDIRECT(SUBSTITUTE($J89," ","")&amp;"Manufactures"),3,0),"Требуется код страны"))</f>
        <v>American Needle, Inc; 1275 Busch Parkway, Buffalo Grove, IL 60089, USA</v>
      </c>
      <c r="AT89" s="56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>
        <f t="shared" si="4"/>
        <v>1.2000000000000002</v>
      </c>
      <c r="AX89" s="43">
        <f t="shared" si="5"/>
        <v>1.8000000000000003</v>
      </c>
      <c r="AY89" s="155">
        <v>7.0125000000000002</v>
      </c>
      <c r="AZ89" s="156">
        <f t="shared" si="6"/>
        <v>84.15</v>
      </c>
      <c r="BA89" s="45">
        <f>IF(A89&lt;&gt;"",IF(_xlfn.XLOOKUP(A89,'1C'!A:A,'1C'!A:A,0,0)&gt;0,1,0),"")</f>
        <v>0</v>
      </c>
      <c r="BB89" s="150">
        <f>IF(C89&lt;&gt;"",IF(_xlfn.XLOOKUP(C89,'1C'!S:S,'1C'!S:S,0,0)&gt;0,0,1),"")</f>
        <v>0</v>
      </c>
      <c r="BC89" s="45">
        <f t="shared" si="7"/>
        <v>1</v>
      </c>
    </row>
    <row r="90" spans="1:55" ht="171.75" customHeight="1">
      <c r="A90" s="43" t="str">
        <f t="shared" si="0"/>
        <v>21019A-PINKFblack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06-403-09</v>
      </c>
      <c r="C90" s="44" t="s">
        <v>2129</v>
      </c>
      <c r="D90" s="43" t="str">
        <f>VLOOKUP(C90,Names!A:B,2,0)</f>
        <v>Pink Floyd Cuffed Knit</v>
      </c>
      <c r="E90" s="43" t="str">
        <f>IF(F90&lt;&gt;"",IFERROR(VLOOKUP(F90,Категории!A:B,2,0),""),"Требуется категория")</f>
        <v>Шапки</v>
      </c>
      <c r="F90" s="44" t="s">
        <v>340</v>
      </c>
      <c r="G90" s="63" t="s">
        <v>2313</v>
      </c>
      <c r="H90" s="44" t="s">
        <v>389</v>
      </c>
      <c r="J90" s="43" t="str">
        <f>'1C'!$AF$1</f>
        <v>American Needle</v>
      </c>
      <c r="K90" s="104" t="s">
        <v>819</v>
      </c>
      <c r="L90" s="59" t="str">
        <f>IF(K90&lt;&gt;"",IFERROR(VLOOKUP(A90,'1C'!A:T,8,0),IFERROR(VLOOKUP(K90,Colors!D:E,2,0),"")),"")</f>
        <v>черный</v>
      </c>
      <c r="M90" s="145" t="str">
        <f>IF(K90&lt;&gt;"",IFERROR(VLOOKUP(A90,'1C'!A:T,18,0),IFERROR(VLOOKUP(K90,Colors!D:E,2,0),"")),"")</f>
        <v>черный</v>
      </c>
      <c r="N90" s="141" t="str">
        <f>Order!B88</f>
        <v>100% Акрил</v>
      </c>
      <c r="O90" s="65"/>
      <c r="P90" s="44" t="s">
        <v>46</v>
      </c>
      <c r="Q90" s="59" t="s">
        <v>34</v>
      </c>
      <c r="R90" s="58" t="s">
        <v>382</v>
      </c>
      <c r="S90" s="44">
        <v>15</v>
      </c>
      <c r="AQ90" s="59">
        <f t="shared" si="1"/>
        <v>15</v>
      </c>
      <c r="AR90" s="66" t="str">
        <f>Order!A88</f>
        <v>CN</v>
      </c>
      <c r="AS90" s="56" t="str">
        <f ca="1">IF(BA90&gt;0,_xlfn.XLOOKUP(A90,'1C'!$A:$A,'1C'!P:P,"",0,),IF(AR90&lt;&gt;"",VLOOKUP(AR90,INDIRECT(SUBSTITUTE($J90," ","")&amp;"Manufactures"),3,0),"Требуется код страны"))</f>
        <v>American Needle, Inc; 1275 Busch Parkway, Buffalo Grove, IL 60089, USA</v>
      </c>
      <c r="AT90" s="56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>
        <f t="shared" si="4"/>
        <v>1.5</v>
      </c>
      <c r="AX90" s="43">
        <f t="shared" si="5"/>
        <v>2.2500000000000004</v>
      </c>
      <c r="AY90" s="155">
        <v>7.0126666666666662</v>
      </c>
      <c r="AZ90" s="156">
        <f t="shared" si="6"/>
        <v>105.19</v>
      </c>
      <c r="BA90" s="45">
        <f>IF(A90&lt;&gt;"",IF(_xlfn.XLOOKUP(A90,'1C'!A:A,'1C'!A:A,0,0)&gt;0,1,0),"")</f>
        <v>0</v>
      </c>
      <c r="BB90" s="150">
        <f>IF(C90&lt;&gt;"",IF(_xlfn.XLOOKUP(C90,'1C'!S:S,'1C'!S:S,0,0)&gt;0,0,1),"")</f>
        <v>0</v>
      </c>
      <c r="BC90" s="45">
        <f t="shared" si="7"/>
        <v>1</v>
      </c>
    </row>
    <row r="91" spans="1:55" ht="173.45" customHeight="1">
      <c r="A91" s="43" t="str">
        <f t="shared" si="0"/>
        <v>21019A-QNDblue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06-404-06</v>
      </c>
      <c r="C91" s="44" t="s">
        <v>2130</v>
      </c>
      <c r="D91" s="43" t="str">
        <f>VLOOKUP(C91,Names!A:B,2,0)</f>
        <v>QUEBEC NORDIQUES Cuffed Knit NHL</v>
      </c>
      <c r="E91" s="43" t="str">
        <f>IF(F91&lt;&gt;"",IFERROR(VLOOKUP(F91,Категории!A:B,2,0),""),"Требуется категория")</f>
        <v>Шапки</v>
      </c>
      <c r="F91" s="44" t="s">
        <v>340</v>
      </c>
      <c r="G91" s="63" t="s">
        <v>884</v>
      </c>
      <c r="H91" s="44" t="s">
        <v>389</v>
      </c>
      <c r="J91" s="43" t="str">
        <f>'1C'!$AF$1</f>
        <v>American Needle</v>
      </c>
      <c r="K91" s="104" t="s">
        <v>823</v>
      </c>
      <c r="L91" s="59" t="str">
        <f>IF(K91&lt;&gt;"",IFERROR(VLOOKUP(A91,'1C'!A:T,8,0),IFERROR(VLOOKUP(K91,Colors!D:E,2,0),"")),"")</f>
        <v>синий</v>
      </c>
      <c r="M91" s="145" t="str">
        <f>IF(K91&lt;&gt;"",IFERROR(VLOOKUP(A91,'1C'!A:T,18,0),IFERROR(VLOOKUP(K91,Colors!D:E,2,0),"")),"")</f>
        <v>синий</v>
      </c>
      <c r="N91" s="141" t="str">
        <f>Order!B89</f>
        <v>100% Акрил</v>
      </c>
      <c r="O91" s="65"/>
      <c r="P91" s="44" t="s">
        <v>46</v>
      </c>
      <c r="Q91" s="59" t="s">
        <v>34</v>
      </c>
      <c r="R91" s="58" t="s">
        <v>382</v>
      </c>
      <c r="S91" s="44">
        <v>12</v>
      </c>
      <c r="AQ91" s="59">
        <f t="shared" si="1"/>
        <v>12</v>
      </c>
      <c r="AR91" s="66" t="str">
        <f>Order!A89</f>
        <v>CN</v>
      </c>
      <c r="AS91" s="56" t="str">
        <f ca="1">IF(BA91&gt;0,_xlfn.XLOOKUP(A91,'1C'!$A:$A,'1C'!P:P,"",0,),IF(AR91&lt;&gt;"",VLOOKUP(AR91,INDIRECT(SUBSTITUTE($J91," ","")&amp;"Manufactures"),3,0),"Требуется код страны"))</f>
        <v>American Needle, Inc; 1275 Busch Parkway, Buffalo Grove, IL 60089, USA</v>
      </c>
      <c r="AT91" s="56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>
        <f t="shared" si="4"/>
        <v>1.2000000000000002</v>
      </c>
      <c r="AX91" s="43">
        <f t="shared" si="5"/>
        <v>1.8000000000000003</v>
      </c>
      <c r="AY91" s="155">
        <v>7.0125000000000002</v>
      </c>
      <c r="AZ91" s="156">
        <f t="shared" si="6"/>
        <v>84.15</v>
      </c>
      <c r="BA91" s="45">
        <f>IF(A91&lt;&gt;"",IF(_xlfn.XLOOKUP(A91,'1C'!A:A,'1C'!A:A,0,0)&gt;0,1,0),"")</f>
        <v>0</v>
      </c>
      <c r="BB91" s="150">
        <f>IF(C91&lt;&gt;"",IF(_xlfn.XLOOKUP(C91,'1C'!S:S,'1C'!S:S,0,0)&gt;0,0,1),"")</f>
        <v>0</v>
      </c>
      <c r="BC91" s="45">
        <f t="shared" si="7"/>
        <v>1</v>
      </c>
    </row>
    <row r="92" spans="1:55" ht="164.1" customHeight="1">
      <c r="A92" s="43" t="str">
        <f t="shared" si="0"/>
        <v>21019A-SAFnavy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06-405-16</v>
      </c>
      <c r="C92" s="44" t="s">
        <v>2131</v>
      </c>
      <c r="D92" s="43" t="str">
        <f>VLOOKUP(C92,Names!A:B,2,0)</f>
        <v>SAN FRAN SEALS Cuffed Knit MILB</v>
      </c>
      <c r="E92" s="43" t="str">
        <f>IF(F92&lt;&gt;"",IFERROR(VLOOKUP(F92,Категории!A:B,2,0),""),"Требуется категория")</f>
        <v>Шапки</v>
      </c>
      <c r="F92" s="44" t="s">
        <v>340</v>
      </c>
      <c r="G92" s="63" t="s">
        <v>884</v>
      </c>
      <c r="H92" s="44" t="s">
        <v>389</v>
      </c>
      <c r="J92" s="43" t="str">
        <f>'1C'!$AF$1</f>
        <v>American Needle</v>
      </c>
      <c r="K92" s="104" t="s">
        <v>818</v>
      </c>
      <c r="L92" s="59" t="str">
        <f>IF(K92&lt;&gt;"",IFERROR(VLOOKUP(A92,'1C'!A:T,8,0),IFERROR(VLOOKUP(K92,Colors!D:E,2,0),"")),"")</f>
        <v>темно-синий</v>
      </c>
      <c r="M92" s="145" t="str">
        <f>IF(K92&lt;&gt;"",IFERROR(VLOOKUP(A92,'1C'!A:T,18,0),IFERROR(VLOOKUP(K92,Colors!D:E,2,0),"")),"")</f>
        <v>темно-синий</v>
      </c>
      <c r="N92" s="141" t="str">
        <f>Order!B90</f>
        <v>100% Акрил</v>
      </c>
      <c r="O92" s="65"/>
      <c r="P92" s="44" t="s">
        <v>46</v>
      </c>
      <c r="Q92" s="59" t="s">
        <v>34</v>
      </c>
      <c r="R92" s="58" t="s">
        <v>382</v>
      </c>
      <c r="S92" s="44">
        <v>12</v>
      </c>
      <c r="AQ92" s="59">
        <f t="shared" si="1"/>
        <v>12</v>
      </c>
      <c r="AR92" s="66" t="str">
        <f>Order!A90</f>
        <v>CN</v>
      </c>
      <c r="AS92" s="56" t="str">
        <f ca="1">IF(BA92&gt;0,_xlfn.XLOOKUP(A92,'1C'!$A:$A,'1C'!P:P,"",0,),IF(AR92&lt;&gt;"",VLOOKUP(AR92,INDIRECT(SUBSTITUTE($J92," ","")&amp;"Manufactures"),3,0),"Требуется код страны"))</f>
        <v>American Needle, Inc; 1275 Busch Parkway, Buffalo Grove, IL 60089, USA</v>
      </c>
      <c r="AT92" s="56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>
        <f t="shared" si="4"/>
        <v>1.2000000000000002</v>
      </c>
      <c r="AX92" s="43">
        <f t="shared" si="5"/>
        <v>1.8000000000000003</v>
      </c>
      <c r="AY92" s="155">
        <v>7.0125000000000002</v>
      </c>
      <c r="AZ92" s="156">
        <f t="shared" si="6"/>
        <v>84.15</v>
      </c>
      <c r="BA92" s="45">
        <f>IF(A92&lt;&gt;"",IF(_xlfn.XLOOKUP(A92,'1C'!A:A,'1C'!A:A,0,0)&gt;0,1,0),"")</f>
        <v>0</v>
      </c>
      <c r="BB92" s="150">
        <f>IF(C92&lt;&gt;"",IF(_xlfn.XLOOKUP(C92,'1C'!S:S,'1C'!S:S,0,0)&gt;0,0,1),"")</f>
        <v>0</v>
      </c>
      <c r="BC92" s="45">
        <f t="shared" si="7"/>
        <v>1</v>
      </c>
    </row>
    <row r="93" spans="1:55" ht="170.1" customHeight="1">
      <c r="A93" s="43" t="str">
        <f t="shared" si="0"/>
        <v>21019A-SBEARolive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06-406-03</v>
      </c>
      <c r="C93" s="44" t="s">
        <v>2132</v>
      </c>
      <c r="D93" s="43" t="str">
        <f>VLOOKUP(C93,Names!A:B,2,0)</f>
        <v>Smokey Bear Cuffed Knit</v>
      </c>
      <c r="E93" s="43" t="str">
        <f>IF(F93&lt;&gt;"",IFERROR(VLOOKUP(F93,Категории!A:B,2,0),""),"Требуется категория")</f>
        <v>Шапки</v>
      </c>
      <c r="F93" s="44" t="s">
        <v>340</v>
      </c>
      <c r="G93" s="63" t="s">
        <v>2716</v>
      </c>
      <c r="H93" s="44" t="s">
        <v>389</v>
      </c>
      <c r="J93" s="43" t="str">
        <f>'1C'!$AF$1</f>
        <v>American Needle</v>
      </c>
      <c r="K93" s="104" t="s">
        <v>2285</v>
      </c>
      <c r="L93" s="56" t="str">
        <f>IF(K93&lt;&gt;"",IFERROR(VLOOKUP(A93,'1C'!A:T,8,0),IFERROR(VLOOKUP(K93,Colors!D:E,2,0),"")),"")</f>
        <v>оливковый</v>
      </c>
      <c r="M93" s="145" t="str">
        <f>IF(K93&lt;&gt;"",IFERROR(VLOOKUP(A93,'1C'!A:T,18,0),IFERROR(VLOOKUP(K93,Colors!D:E,2,0),"")),"")</f>
        <v>оливковый</v>
      </c>
      <c r="N93" s="141" t="str">
        <f>Order!B91</f>
        <v>100% Акрил</v>
      </c>
      <c r="O93" s="65"/>
      <c r="P93" s="63" t="s">
        <v>46</v>
      </c>
      <c r="Q93" s="59" t="s">
        <v>34</v>
      </c>
      <c r="R93" s="58" t="s">
        <v>382</v>
      </c>
      <c r="S93" s="44">
        <v>24</v>
      </c>
      <c r="AQ93" s="59">
        <f t="shared" si="1"/>
        <v>24</v>
      </c>
      <c r="AR93" s="66" t="str">
        <f>Order!A91</f>
        <v>CN</v>
      </c>
      <c r="AS93" s="56" t="str">
        <f ca="1">IF(BA93&gt;0,_xlfn.XLOOKUP(A93,'1C'!$A:$A,'1C'!P:P,"",0,),IF(AR93&lt;&gt;"",VLOOKUP(AR93,INDIRECT(SUBSTITUTE($J93," ","")&amp;"Manufactures"),3,0),"Требуется код страны"))</f>
        <v>American Needle, Inc; 1275 Busch Parkway, Buffalo Grove, IL 60089, USA</v>
      </c>
      <c r="AT93" s="56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>
        <f t="shared" si="4"/>
        <v>2.4000000000000004</v>
      </c>
      <c r="AX93" s="43">
        <f t="shared" si="5"/>
        <v>3.6000000000000005</v>
      </c>
      <c r="AY93" s="155">
        <v>6.1625000000000005</v>
      </c>
      <c r="AZ93" s="156">
        <f t="shared" si="6"/>
        <v>147.9</v>
      </c>
      <c r="BA93" s="45">
        <f>IF(A93&lt;&gt;"",IF(_xlfn.XLOOKUP(A93,'1C'!A:A,'1C'!A:A,0,0)&gt;0,1,0),"")</f>
        <v>0</v>
      </c>
      <c r="BB93" s="150">
        <f>IF(C93&lt;&gt;"",IF(_xlfn.XLOOKUP(C93,'1C'!S:S,'1C'!S:S,0,0)&gt;0,0,1),"")</f>
        <v>0</v>
      </c>
      <c r="BC93" s="45">
        <f t="shared" si="7"/>
        <v>1</v>
      </c>
    </row>
    <row r="94" spans="1:55" ht="167.65" customHeight="1">
      <c r="A94" s="43" t="str">
        <f t="shared" si="0"/>
        <v>21019A-TMLroyal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06-407-06</v>
      </c>
      <c r="C94" s="44" t="s">
        <v>2133</v>
      </c>
      <c r="D94" s="43" t="str">
        <f>VLOOKUP(C94,Names!A:B,2,0)</f>
        <v>TOR MAPLE LEAFS Cuffed Knit NH</v>
      </c>
      <c r="E94" s="43" t="str">
        <f>IF(F94&lt;&gt;"",IFERROR(VLOOKUP(F94,Категории!A:B,2,0),""),"Требуется категория")</f>
        <v>Шапки</v>
      </c>
      <c r="F94" s="44" t="s">
        <v>340</v>
      </c>
      <c r="G94" s="63" t="s">
        <v>884</v>
      </c>
      <c r="H94" s="44" t="s">
        <v>389</v>
      </c>
      <c r="J94" s="43" t="str">
        <f>'1C'!$AF$1</f>
        <v>American Needle</v>
      </c>
      <c r="K94" s="104" t="s">
        <v>1576</v>
      </c>
      <c r="L94" s="58" t="s">
        <v>71</v>
      </c>
      <c r="M94" s="66"/>
      <c r="N94" s="141" t="str">
        <f>Order!B92</f>
        <v>100% Акрил</v>
      </c>
      <c r="O94" s="65"/>
      <c r="P94" s="44" t="s">
        <v>46</v>
      </c>
      <c r="Q94" s="59" t="s">
        <v>34</v>
      </c>
      <c r="R94" s="58" t="s">
        <v>382</v>
      </c>
      <c r="S94" s="44">
        <v>12</v>
      </c>
      <c r="AQ94" s="59">
        <f t="shared" si="1"/>
        <v>12</v>
      </c>
      <c r="AR94" s="66" t="str">
        <f>Order!A92</f>
        <v>CN</v>
      </c>
      <c r="AS94" s="56" t="str">
        <f ca="1">IF(BA94&gt;0,_xlfn.XLOOKUP(A94,'1C'!$A:$A,'1C'!P:P,"",0,),IF(AR94&lt;&gt;"",VLOOKUP(AR94,INDIRECT(SUBSTITUTE($J94," ","")&amp;"Manufactures"),3,0),"Требуется код страны"))</f>
        <v>American Needle, Inc; 1275 Busch Parkway, Buffalo Grove, IL 60089, USA</v>
      </c>
      <c r="AT94" s="56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>
        <f t="shared" si="4"/>
        <v>1.2000000000000002</v>
      </c>
      <c r="AX94" s="43">
        <f t="shared" si="5"/>
        <v>1.8000000000000003</v>
      </c>
      <c r="AY94" s="155">
        <v>7.0125000000000002</v>
      </c>
      <c r="AZ94" s="156">
        <f t="shared" si="6"/>
        <v>84.15</v>
      </c>
      <c r="BA94" s="45">
        <f>IF(A94&lt;&gt;"",IF(_xlfn.XLOOKUP(A94,'1C'!A:A,'1C'!A:A,0,0)&gt;0,1,0),"")</f>
        <v>0</v>
      </c>
      <c r="BB94" s="150">
        <f>IF(C94&lt;&gt;"",IF(_xlfn.XLOOKUP(C94,'1C'!S:S,'1C'!S:S,0,0)&gt;0,0,1),"")</f>
        <v>0</v>
      </c>
      <c r="BC94" s="45">
        <f t="shared" si="7"/>
        <v>1</v>
      </c>
    </row>
    <row r="95" spans="1:55" ht="158.25" customHeight="1">
      <c r="A95" s="43" t="str">
        <f t="shared" si="0"/>
        <v>21019A-USAblack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06-408-09</v>
      </c>
      <c r="C95" s="44" t="s">
        <v>2134</v>
      </c>
      <c r="D95" s="43" t="str">
        <f>VLOOKUP(C95,Names!A:B,2,0)</f>
        <v>USA Cuffed Knit</v>
      </c>
      <c r="E95" s="43" t="str">
        <f>IF(F95&lt;&gt;"",IFERROR(VLOOKUP(F95,Категории!A:B,2,0),""),"Требуется категория")</f>
        <v>Шапки</v>
      </c>
      <c r="F95" s="44" t="s">
        <v>340</v>
      </c>
      <c r="G95" s="63" t="s">
        <v>880</v>
      </c>
      <c r="H95" s="44" t="s">
        <v>389</v>
      </c>
      <c r="J95" s="43" t="str">
        <f>'1C'!$AF$1</f>
        <v>American Needle</v>
      </c>
      <c r="K95" s="104" t="s">
        <v>819</v>
      </c>
      <c r="L95" s="56" t="str">
        <f>IF(K95&lt;&gt;"",IFERROR(VLOOKUP(A95,'1C'!A:T,8,0),IFERROR(VLOOKUP(K95,Colors!D:E,2,0),"")),"")</f>
        <v>черный</v>
      </c>
      <c r="M95" s="145" t="str">
        <f>IF(K95&lt;&gt;"",IFERROR(VLOOKUP(A95,'1C'!A:T,18,0),IFERROR(VLOOKUP(K95,Colors!D:E,2,0),"")),"")</f>
        <v>черный</v>
      </c>
      <c r="N95" s="141" t="str">
        <f>Order!B93</f>
        <v>100% Акрил</v>
      </c>
      <c r="O95" s="65"/>
      <c r="P95" s="63" t="s">
        <v>46</v>
      </c>
      <c r="Q95" s="59" t="s">
        <v>34</v>
      </c>
      <c r="R95" s="58" t="s">
        <v>382</v>
      </c>
      <c r="S95" s="44">
        <v>36</v>
      </c>
      <c r="AQ95" s="59">
        <f t="shared" si="1"/>
        <v>36</v>
      </c>
      <c r="AR95" s="66" t="str">
        <f>Order!A93</f>
        <v>CN</v>
      </c>
      <c r="AS95" s="56" t="str">
        <f ca="1">IF(BA95&gt;0,_xlfn.XLOOKUP(A95,'1C'!$A:$A,'1C'!P:P,"",0,),IF(AR95&lt;&gt;"",VLOOKUP(AR95,INDIRECT(SUBSTITUTE($J95," ","")&amp;"Manufactures"),3,0),"Требуется код страны"))</f>
        <v>American Needle, Inc; 1275 Busch Parkway, Buffalo Grove, IL 60089, USA</v>
      </c>
      <c r="AT95" s="56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>
        <f t="shared" si="4"/>
        <v>3.6</v>
      </c>
      <c r="AX95" s="43">
        <f t="shared" si="5"/>
        <v>5.4</v>
      </c>
      <c r="AY95" s="155">
        <v>4.6750000000000007</v>
      </c>
      <c r="AZ95" s="156">
        <f t="shared" si="6"/>
        <v>168.3</v>
      </c>
      <c r="BA95" s="45">
        <f>IF(A95&lt;&gt;"",IF(_xlfn.XLOOKUP(A95,'1C'!A:A,'1C'!A:A,0,0)&gt;0,1,0),"")</f>
        <v>0</v>
      </c>
      <c r="BB95" s="150">
        <f>IF(C95&lt;&gt;"",IF(_xlfn.XLOOKUP(C95,'1C'!S:S,'1C'!S:S,0,0)&gt;0,0,1),"")</f>
        <v>0</v>
      </c>
      <c r="BC95" s="45">
        <f t="shared" si="7"/>
        <v>1</v>
      </c>
    </row>
    <row r="96" spans="1:55" ht="169.15" customHeight="1">
      <c r="A96" s="43" t="str">
        <f t="shared" si="0"/>
        <v>21019A-VACblack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06-409-09</v>
      </c>
      <c r="C96" s="44" t="s">
        <v>2135</v>
      </c>
      <c r="D96" s="43" t="str">
        <f>VLOOKUP(C96,Names!A:B,2,0)</f>
        <v>VAN CANUCKS Cuffed Knit NHL</v>
      </c>
      <c r="E96" s="43" t="str">
        <f>IF(F96&lt;&gt;"",IFERROR(VLOOKUP(F96,Категории!A:B,2,0),""),"Требуется категория")</f>
        <v>Шапки</v>
      </c>
      <c r="F96" s="44" t="s">
        <v>340</v>
      </c>
      <c r="G96" s="63" t="s">
        <v>884</v>
      </c>
      <c r="H96" s="44" t="s">
        <v>389</v>
      </c>
      <c r="J96" s="43" t="str">
        <f>'1C'!$AF$1</f>
        <v>American Needle</v>
      </c>
      <c r="K96" s="104" t="s">
        <v>819</v>
      </c>
      <c r="L96" s="59" t="str">
        <f>IF(K96&lt;&gt;"",IFERROR(VLOOKUP(A96,'1C'!A:T,8,0),IFERROR(VLOOKUP(K96,Colors!D:E,2,0),"")),"")</f>
        <v>черный</v>
      </c>
      <c r="M96" s="145" t="str">
        <f>IF(K96&lt;&gt;"",IFERROR(VLOOKUP(A96,'1C'!A:T,18,0),IFERROR(VLOOKUP(K96,Colors!D:E,2,0),"")),"")</f>
        <v>черный</v>
      </c>
      <c r="N96" s="141" t="str">
        <f>Order!B94</f>
        <v>100% Акрил</v>
      </c>
      <c r="O96" s="65"/>
      <c r="P96" s="44" t="s">
        <v>46</v>
      </c>
      <c r="Q96" s="59" t="s">
        <v>34</v>
      </c>
      <c r="R96" s="58" t="s">
        <v>382</v>
      </c>
      <c r="S96" s="44">
        <v>12</v>
      </c>
      <c r="AQ96" s="59">
        <f t="shared" si="1"/>
        <v>12</v>
      </c>
      <c r="AR96" s="66" t="str">
        <f>Order!A94</f>
        <v>CN</v>
      </c>
      <c r="AS96" s="56" t="str">
        <f ca="1">IF(BA96&gt;0,_xlfn.XLOOKUP(A96,'1C'!$A:$A,'1C'!P:P,"",0,),IF(AR96&lt;&gt;"",VLOOKUP(AR96,INDIRECT(SUBSTITUTE($J96," ","")&amp;"Manufactures"),3,0),"Требуется код страны"))</f>
        <v>American Needle, Inc; 1275 Busch Parkway, Buffalo Grove, IL 60089, USA</v>
      </c>
      <c r="AT96" s="56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>
        <f t="shared" si="4"/>
        <v>1.2000000000000002</v>
      </c>
      <c r="AX96" s="43">
        <f t="shared" si="5"/>
        <v>1.8000000000000003</v>
      </c>
      <c r="AY96" s="155">
        <v>7.0125000000000002</v>
      </c>
      <c r="AZ96" s="156">
        <f t="shared" si="6"/>
        <v>84.15</v>
      </c>
      <c r="BA96" s="45">
        <f>IF(A96&lt;&gt;"",IF(_xlfn.XLOOKUP(A96,'1C'!A:A,'1C'!A:A,0,0)&gt;0,1,0),"")</f>
        <v>0</v>
      </c>
      <c r="BB96" s="150">
        <f>IF(C96&lt;&gt;"",IF(_xlfn.XLOOKUP(C96,'1C'!S:S,'1C'!S:S,0,0)&gt;0,0,1),"")</f>
        <v>0</v>
      </c>
      <c r="BC96" s="45">
        <f t="shared" si="7"/>
        <v>1</v>
      </c>
    </row>
    <row r="97" spans="1:55" ht="173.45" customHeight="1">
      <c r="A97" s="43" t="str">
        <f t="shared" si="0"/>
        <v>21019A-VGKblack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06-410-09</v>
      </c>
      <c r="C97" s="44" t="s">
        <v>2136</v>
      </c>
      <c r="D97" s="43" t="str">
        <f>VLOOKUP(C97,Names!A:B,2,0)</f>
        <v>V GLDN KNT Cuffed Knit NHL</v>
      </c>
      <c r="E97" s="43" t="str">
        <f>IF(F97&lt;&gt;"",IFERROR(VLOOKUP(F97,Категории!A:B,2,0),""),"Требуется категория")</f>
        <v>Шапки</v>
      </c>
      <c r="F97" s="44" t="s">
        <v>340</v>
      </c>
      <c r="G97" s="63" t="s">
        <v>884</v>
      </c>
      <c r="H97" s="44" t="s">
        <v>389</v>
      </c>
      <c r="J97" s="43" t="str">
        <f>'1C'!$AF$1</f>
        <v>American Needle</v>
      </c>
      <c r="K97" s="104" t="s">
        <v>819</v>
      </c>
      <c r="L97" s="59" t="str">
        <f>IF(K97&lt;&gt;"",IFERROR(VLOOKUP(A97,'1C'!A:T,8,0),IFERROR(VLOOKUP(K97,Colors!D:E,2,0),"")),"")</f>
        <v>черный</v>
      </c>
      <c r="M97" s="145" t="str">
        <f>IF(K97&lt;&gt;"",IFERROR(VLOOKUP(A97,'1C'!A:T,18,0),IFERROR(VLOOKUP(K97,Colors!D:E,2,0),"")),"")</f>
        <v>черный</v>
      </c>
      <c r="N97" s="141" t="str">
        <f>Order!B95</f>
        <v>100% Акрил</v>
      </c>
      <c r="O97" s="65"/>
      <c r="P97" s="44" t="s">
        <v>46</v>
      </c>
      <c r="Q97" s="59" t="s">
        <v>34</v>
      </c>
      <c r="R97" s="58" t="s">
        <v>382</v>
      </c>
      <c r="S97" s="44">
        <v>15</v>
      </c>
      <c r="AQ97" s="59">
        <f t="shared" si="1"/>
        <v>15</v>
      </c>
      <c r="AR97" s="66" t="str">
        <f>Order!A95</f>
        <v>CN</v>
      </c>
      <c r="AS97" s="56" t="str">
        <f ca="1">IF(BA97&gt;0,_xlfn.XLOOKUP(A97,'1C'!$A:$A,'1C'!P:P,"",0,),IF(AR97&lt;&gt;"",VLOOKUP(AR97,INDIRECT(SUBSTITUTE($J97," ","")&amp;"Manufactures"),3,0),"Требуется код страны"))</f>
        <v>American Needle, Inc; 1275 Busch Parkway, Buffalo Grove, IL 60089, USA</v>
      </c>
      <c r="AT97" s="56" t="str">
        <f ca="1">IF(BA97&gt;0,_xlfn.XLOOKUP(A97,'1C'!$A:$A,'1C'!O:O,"",0),IF(AR97&lt;&gt;"",VLOOKUP(AR97,INDIRECT(SUBSTITUTE($J97," ","")&amp;"Manufactures"),2,0),"Требуется код страны"))</f>
        <v>Китай</v>
      </c>
      <c r="AU97" s="76">
        <f t="shared" si="2"/>
        <v>0.1</v>
      </c>
      <c r="AV97" s="43">
        <f t="shared" si="3"/>
        <v>0.15000000000000002</v>
      </c>
      <c r="AW97" s="43">
        <f t="shared" si="4"/>
        <v>1.5</v>
      </c>
      <c r="AX97" s="43">
        <f t="shared" si="5"/>
        <v>2.2500000000000004</v>
      </c>
      <c r="AY97" s="155">
        <v>7.0126666666666662</v>
      </c>
      <c r="AZ97" s="156">
        <f t="shared" si="6"/>
        <v>105.19</v>
      </c>
      <c r="BA97" s="45">
        <f>IF(A97&lt;&gt;"",IF(_xlfn.XLOOKUP(A97,'1C'!A:A,'1C'!A:A,0,0)&gt;0,1,0),"")</f>
        <v>0</v>
      </c>
      <c r="BB97" s="150">
        <f>IF(C97&lt;&gt;"",IF(_xlfn.XLOOKUP(C97,'1C'!S:S,'1C'!S:S,0,0)&gt;0,0,1),"")</f>
        <v>0</v>
      </c>
      <c r="BC97" s="45">
        <f t="shared" si="7"/>
        <v>1</v>
      </c>
    </row>
    <row r="98" spans="1:55" ht="172.7" customHeight="1">
      <c r="A98" s="43" t="str">
        <f t="shared" si="0"/>
        <v>21019A-YOGblack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06-411-09</v>
      </c>
      <c r="C98" s="44" t="s">
        <v>2137</v>
      </c>
      <c r="D98" s="43" t="str">
        <f>VLOOKUP(C98,Names!A:B,2,0)</f>
        <v>YOMIURI GIANTS NPN Cuffed Knit</v>
      </c>
      <c r="E98" s="43" t="str">
        <f>IF(F98&lt;&gt;"",IFERROR(VLOOKUP(F98,Категории!A:B,2,0),""),"Требуется категория")</f>
        <v>Шапки</v>
      </c>
      <c r="F98" s="44" t="s">
        <v>340</v>
      </c>
      <c r="G98" s="63" t="s">
        <v>884</v>
      </c>
      <c r="H98" s="44" t="s">
        <v>389</v>
      </c>
      <c r="J98" s="43" t="str">
        <f>'1C'!$AF$1</f>
        <v>American Needle</v>
      </c>
      <c r="K98" s="104" t="s">
        <v>819</v>
      </c>
      <c r="L98" s="56" t="str">
        <f>IF(K98&lt;&gt;"",IFERROR(VLOOKUP(A98,'1C'!A:T,8,0),IFERROR(VLOOKUP(K98,Colors!D:E,2,0),"")),"")</f>
        <v>черный</v>
      </c>
      <c r="M98" s="145" t="str">
        <f>IF(K98&lt;&gt;"",IFERROR(VLOOKUP(A98,'1C'!A:T,18,0),IFERROR(VLOOKUP(K98,Colors!D:E,2,0),"")),"")</f>
        <v>черный</v>
      </c>
      <c r="N98" s="141" t="str">
        <f>Order!B96</f>
        <v>100% Акрил</v>
      </c>
      <c r="O98" s="65"/>
      <c r="P98" s="63" t="s">
        <v>46</v>
      </c>
      <c r="Q98" s="59" t="s">
        <v>34</v>
      </c>
      <c r="R98" s="58" t="s">
        <v>382</v>
      </c>
      <c r="S98" s="44">
        <v>24</v>
      </c>
      <c r="AQ98" s="59">
        <f t="shared" si="1"/>
        <v>24</v>
      </c>
      <c r="AR98" s="66" t="str">
        <f>Order!A96</f>
        <v>CN</v>
      </c>
      <c r="AS98" s="56" t="str">
        <f ca="1">IF(BA98&gt;0,_xlfn.XLOOKUP(A98,'1C'!$A:$A,'1C'!P:P,"",0,),IF(AR98&lt;&gt;"",VLOOKUP(AR98,INDIRECT(SUBSTITUTE($J98," ","")&amp;"Manufactures"),3,0),"Требуется код страны"))</f>
        <v>American Needle, Inc; 1275 Busch Parkway, Buffalo Grove, IL 60089, USA</v>
      </c>
      <c r="AT98" s="56" t="str">
        <f ca="1">IF(BA98&gt;0,_xlfn.XLOOKUP(A98,'1C'!$A:$A,'1C'!O:O,"",0),IF(AR98&lt;&gt;"",VLOOKUP(AR98,INDIRECT(SUBSTITUTE($J98," ","")&amp;"Manufactures"),2,0),"Требуется код страны"))</f>
        <v>Китай</v>
      </c>
      <c r="AU98" s="76">
        <f t="shared" si="2"/>
        <v>0.1</v>
      </c>
      <c r="AV98" s="43">
        <f t="shared" si="3"/>
        <v>0.15000000000000002</v>
      </c>
      <c r="AW98" s="43">
        <f t="shared" si="4"/>
        <v>2.4000000000000004</v>
      </c>
      <c r="AX98" s="43">
        <f t="shared" si="5"/>
        <v>3.6000000000000005</v>
      </c>
      <c r="AY98" s="155">
        <v>7.0125000000000002</v>
      </c>
      <c r="AZ98" s="156">
        <f t="shared" si="6"/>
        <v>168.3</v>
      </c>
      <c r="BA98" s="45">
        <f>IF(A98&lt;&gt;"",IF(_xlfn.XLOOKUP(A98,'1C'!A:A,'1C'!A:A,0,0)&gt;0,1,0),"")</f>
        <v>0</v>
      </c>
      <c r="BB98" s="150">
        <f>IF(C98&lt;&gt;"",IF(_xlfn.XLOOKUP(C98,'1C'!S:S,'1C'!S:S,0,0)&gt;0,0,1),"")</f>
        <v>0</v>
      </c>
      <c r="BC98" s="45">
        <f t="shared" si="7"/>
        <v>1</v>
      </c>
    </row>
    <row r="99" spans="1:55" ht="164.1" customHeight="1">
      <c r="A99" s="43" t="str">
        <f t="shared" si="0"/>
        <v>21019B-NASAnavy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06-412-16</v>
      </c>
      <c r="C99" s="44" t="s">
        <v>2138</v>
      </c>
      <c r="D99" s="43" t="str">
        <f>VLOOKUP(C99,Names!A:B,2,0)</f>
        <v>NASA Cuffed Knit</v>
      </c>
      <c r="E99" s="43" t="str">
        <f>IF(F99&lt;&gt;"",IFERROR(VLOOKUP(F99,Категории!A:B,2,0),""),"Требуется категория")</f>
        <v>Шапки</v>
      </c>
      <c r="F99" s="44" t="s">
        <v>340</v>
      </c>
      <c r="G99" s="63" t="s">
        <v>873</v>
      </c>
      <c r="H99" s="44" t="s">
        <v>389</v>
      </c>
      <c r="J99" s="43" t="str">
        <f>'1C'!$AF$1</f>
        <v>American Needle</v>
      </c>
      <c r="K99" s="104" t="s">
        <v>818</v>
      </c>
      <c r="L99" s="56" t="str">
        <f>IF(K99&lt;&gt;"",IFERROR(VLOOKUP(A99,'1C'!A:T,8,0),IFERROR(VLOOKUP(K99,Colors!D:E,2,0),"")),"")</f>
        <v>темно-синий</v>
      </c>
      <c r="M99" s="145" t="str">
        <f>IF(K99&lt;&gt;"",IFERROR(VLOOKUP(A99,'1C'!A:T,18,0),IFERROR(VLOOKUP(K99,Colors!D:E,2,0),"")),"")</f>
        <v>темно-синий</v>
      </c>
      <c r="N99" s="141" t="str">
        <f>Order!B97</f>
        <v>100% Акрил</v>
      </c>
      <c r="O99" s="65"/>
      <c r="P99" s="63" t="s">
        <v>46</v>
      </c>
      <c r="Q99" s="59" t="s">
        <v>34</v>
      </c>
      <c r="R99" s="58" t="s">
        <v>382</v>
      </c>
      <c r="S99" s="44">
        <v>9</v>
      </c>
      <c r="AQ99" s="59">
        <f t="shared" si="1"/>
        <v>9</v>
      </c>
      <c r="AR99" s="66" t="str">
        <f>Order!A97</f>
        <v>CN</v>
      </c>
      <c r="AS99" s="56" t="str">
        <f ca="1">IF(BA99&gt;0,_xlfn.XLOOKUP(A99,'1C'!$A:$A,'1C'!P:P,"",0,),IF(AR99&lt;&gt;"",VLOOKUP(AR99,INDIRECT(SUBSTITUTE($J99," ","")&amp;"Manufactures"),3,0),"Требуется код страны"))</f>
        <v>American Needle, Inc; 1275 Busch Parkway, Buffalo Grove, IL 60089, USA</v>
      </c>
      <c r="AT99" s="56" t="str">
        <f ca="1">IF(BA99&gt;0,_xlfn.XLOOKUP(A99,'1C'!$A:$A,'1C'!O:O,"",0),IF(AR99&lt;&gt;"",VLOOKUP(AR99,INDIRECT(SUBSTITUTE($J99," ","")&amp;"Manufactures"),2,0),"Требуется код страны"))</f>
        <v>Китай</v>
      </c>
      <c r="AU99" s="76">
        <f t="shared" si="2"/>
        <v>0.1</v>
      </c>
      <c r="AV99" s="43">
        <f t="shared" si="3"/>
        <v>0.15000000000000002</v>
      </c>
      <c r="AW99" s="43">
        <f t="shared" si="4"/>
        <v>0.9</v>
      </c>
      <c r="AX99" s="43">
        <f t="shared" si="5"/>
        <v>1.35</v>
      </c>
      <c r="AY99" s="155">
        <v>4.6755555555555555</v>
      </c>
      <c r="AZ99" s="156">
        <f t="shared" si="6"/>
        <v>42.08</v>
      </c>
      <c r="BA99" s="45">
        <f>IF(A99&lt;&gt;"",IF(_xlfn.XLOOKUP(A99,'1C'!A:A,'1C'!A:A,0,0)&gt;0,1,0),"")</f>
        <v>0</v>
      </c>
      <c r="BB99" s="150">
        <f>IF(C99&lt;&gt;"",IF(_xlfn.XLOOKUP(C99,'1C'!S:S,'1C'!S:S,0,0)&gt;0,0,1),"")</f>
        <v>0</v>
      </c>
      <c r="BC99" s="45">
        <f t="shared" si="7"/>
        <v>1</v>
      </c>
    </row>
    <row r="100" spans="1:55" ht="115.7" customHeight="1">
      <c r="A100" s="43" t="str">
        <f t="shared" si="0"/>
        <v>21021A-DVNPblack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06-413-09</v>
      </c>
      <c r="C100" s="44" t="s">
        <v>2139</v>
      </c>
      <c r="D100" s="43" t="str">
        <f>VLOOKUP(C100,Names!A:B,2,0)</f>
        <v>Death Valley Canopy NP</v>
      </c>
      <c r="E100" s="43" t="str">
        <f>IF(F100&lt;&gt;"",IFERROR(VLOOKUP(F100,Категории!A:B,2,0),""),"Требуется категория")</f>
        <v>Бейсболки</v>
      </c>
      <c r="F100" s="44" t="s">
        <v>2315</v>
      </c>
      <c r="G100" s="63" t="s">
        <v>884</v>
      </c>
      <c r="H100" s="44" t="s">
        <v>388</v>
      </c>
      <c r="J100" s="43" t="str">
        <f>'1C'!$AF$1</f>
        <v>American Needle</v>
      </c>
      <c r="K100" s="104" t="s">
        <v>819</v>
      </c>
      <c r="L100" s="59" t="str">
        <f>IF(K100&lt;&gt;"",IFERROR(VLOOKUP(A100,'1C'!A:T,8,0),IFERROR(VLOOKUP(K100,Colors!D:E,2,0),"")),"")</f>
        <v>черный</v>
      </c>
      <c r="M100" s="145" t="str">
        <f>IF(K100&lt;&gt;"",IFERROR(VLOOKUP(A100,'1C'!A:T,18,0),IFERROR(VLOOKUP(K100,Colors!D:E,2,0),"")),"")</f>
        <v>черный</v>
      </c>
      <c r="N100" s="141" t="str">
        <f>Order!B98</f>
        <v>40% Акрил - 30% Полиэстер - 30% Хлопок</v>
      </c>
      <c r="O100" s="65"/>
      <c r="P100" s="44" t="s">
        <v>46</v>
      </c>
      <c r="Q100" s="59" t="s">
        <v>15</v>
      </c>
      <c r="R100" s="58" t="s">
        <v>382</v>
      </c>
      <c r="S100" s="44">
        <v>12</v>
      </c>
      <c r="AQ100" s="59">
        <f t="shared" si="1"/>
        <v>12</v>
      </c>
      <c r="AR100" s="66" t="str">
        <f>Order!A98</f>
        <v>CN</v>
      </c>
      <c r="AS100" s="56" t="str">
        <f ca="1">IF(BA100&gt;0,_xlfn.XLOOKUP(A100,'1C'!$A:$A,'1C'!P:P,"",0,),IF(AR100&lt;&gt;"",VLOOKUP(AR100,INDIRECT(SUBSTITUTE($J100," ","")&amp;"Manufactures"),3,0),"Требуется код страны"))</f>
        <v>American Needle, Inc; 1275 Busch Parkway, Buffalo Grove, IL 60089, USA</v>
      </c>
      <c r="AT100" s="56" t="str">
        <f ca="1">IF(BA100&gt;0,_xlfn.XLOOKUP(A100,'1C'!$A:$A,'1C'!O:O,"",0),IF(AR100&lt;&gt;"",VLOOKUP(AR100,INDIRECT(SUBSTITUTE($J100," ","")&amp;"Manufactures"),2,0),"Требуется код страны"))</f>
        <v>Китай</v>
      </c>
      <c r="AU100" s="76">
        <f t="shared" si="2"/>
        <v>0.1</v>
      </c>
      <c r="AV100" s="43">
        <f t="shared" si="3"/>
        <v>0.15000000000000002</v>
      </c>
      <c r="AW100" s="43">
        <f t="shared" si="4"/>
        <v>1.2000000000000002</v>
      </c>
      <c r="AX100" s="43">
        <f t="shared" si="5"/>
        <v>1.8000000000000003</v>
      </c>
      <c r="AY100" s="155">
        <v>8.0750000000000011</v>
      </c>
      <c r="AZ100" s="156">
        <f t="shared" si="6"/>
        <v>96.9</v>
      </c>
      <c r="BA100" s="45">
        <f>IF(A100&lt;&gt;"",IF(_xlfn.XLOOKUP(A100,'1C'!A:A,'1C'!A:A,0,0)&gt;0,1,0),"")</f>
        <v>0</v>
      </c>
      <c r="BB100" s="150">
        <f>IF(C100&lt;&gt;"",IF(_xlfn.XLOOKUP(C100,'1C'!S:S,'1C'!S:S,0,0)&gt;0,0,1),"")</f>
        <v>0</v>
      </c>
      <c r="BC100" s="45">
        <f t="shared" si="7"/>
        <v>1</v>
      </c>
    </row>
    <row r="101" spans="1:55" ht="119.65" customHeight="1">
      <c r="A101" s="43" t="str">
        <f t="shared" si="0"/>
        <v>36670A-SBEARblack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06-414-09</v>
      </c>
      <c r="C101" s="44" t="s">
        <v>2140</v>
      </c>
      <c r="D101" s="43" t="str">
        <f>VLOOKUP(C101,Names!A:B,2,0)</f>
        <v>Smokey Bear New Raglin</v>
      </c>
      <c r="E101" s="43" t="str">
        <f>IF(F101&lt;&gt;"",IFERROR(VLOOKUP(F101,Категории!A:B,2,0),""),"Требуется категория")</f>
        <v>Бейсболки</v>
      </c>
      <c r="F101" s="44" t="s">
        <v>327</v>
      </c>
      <c r="G101" s="63" t="s">
        <v>2716</v>
      </c>
      <c r="H101" s="44" t="s">
        <v>388</v>
      </c>
      <c r="J101" s="43" t="str">
        <f>'1C'!$AF$1</f>
        <v>American Needle</v>
      </c>
      <c r="K101" s="104" t="s">
        <v>819</v>
      </c>
      <c r="L101" s="56" t="str">
        <f>IF(K101&lt;&gt;"",IFERROR(VLOOKUP(A101,'1C'!A:T,8,0),IFERROR(VLOOKUP(K101,Colors!D:E,2,0),"")),"")</f>
        <v>черный</v>
      </c>
      <c r="M101" s="145" t="str">
        <f>IF(K101&lt;&gt;"",IFERROR(VLOOKUP(A101,'1C'!A:T,18,0),IFERROR(VLOOKUP(K101,Colors!D:E,2,0),"")),"")</f>
        <v>черный</v>
      </c>
      <c r="N101" s="141" t="str">
        <f>Order!B99</f>
        <v>100% Хлопок</v>
      </c>
      <c r="O101" s="65"/>
      <c r="P101" s="63" t="s">
        <v>43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8" t="s">
        <v>382</v>
      </c>
      <c r="S101" s="44">
        <v>29</v>
      </c>
      <c r="AQ101" s="59">
        <f t="shared" si="1"/>
        <v>29</v>
      </c>
      <c r="AR101" s="66" t="str">
        <f>Order!A99</f>
        <v>BD</v>
      </c>
      <c r="AS101" s="56" t="str">
        <f ca="1">IF(BA101&gt;0,_xlfn.XLOOKUP(A101,'1C'!$A:$A,'1C'!P:P,"",0,),IF(AR101&lt;&gt;"",VLOOKUP(AR101,INDIRECT(SUBSTITUTE($J101," ","")&amp;"Manufactures"),3,0),"Требуется код страны"))</f>
        <v>American Needle, Inc; 1275 Busch Parkway, Buffalo Grove, IL 60089, USA</v>
      </c>
      <c r="AT101" s="56" t="str">
        <f ca="1">IF(BA101&gt;0,_xlfn.XLOOKUP(A101,'1C'!$A:$A,'1C'!O:O,"",0),IF(AR101&lt;&gt;"",VLOOKUP(AR101,INDIRECT(SUBSTITUTE($J101," ","")&amp;"Manufactures"),2,0),"Требуется код страны"))</f>
        <v>Бангладеш</v>
      </c>
      <c r="AU101" s="76">
        <f t="shared" si="2"/>
        <v>0.1</v>
      </c>
      <c r="AV101" s="43">
        <f t="shared" si="3"/>
        <v>0.15000000000000002</v>
      </c>
      <c r="AW101" s="43">
        <f t="shared" si="4"/>
        <v>2.9000000000000004</v>
      </c>
      <c r="AX101" s="43">
        <f t="shared" si="5"/>
        <v>4.3500000000000005</v>
      </c>
      <c r="AY101" s="155">
        <v>9.1375862068965521</v>
      </c>
      <c r="AZ101" s="156">
        <f t="shared" si="6"/>
        <v>264.99</v>
      </c>
      <c r="BA101" s="45">
        <f>IF(A101&lt;&gt;"",IF(_xlfn.XLOOKUP(A101,'1C'!A:A,'1C'!A:A,0,0)&gt;0,1,0),"")</f>
        <v>0</v>
      </c>
      <c r="BB101" s="150">
        <f>IF(C101&lt;&gt;"",IF(_xlfn.XLOOKUP(C101,'1C'!S:S,'1C'!S:S,0,0)&gt;0,0,1),"")</f>
        <v>0</v>
      </c>
      <c r="BC101" s="45">
        <f t="shared" si="7"/>
        <v>1</v>
      </c>
    </row>
    <row r="102" spans="1:55" ht="124.7" customHeight="1">
      <c r="A102" s="43" t="str">
        <f t="shared" si="0"/>
        <v>36672A-LAKblack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06-415-09</v>
      </c>
      <c r="C102" s="44" t="s">
        <v>2141</v>
      </c>
      <c r="D102" s="43" t="str">
        <f>VLOOKUP(C102,Names!A:B,2,0)</f>
        <v>LOS ANGELES KINGS New Raglin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884</v>
      </c>
      <c r="H102" s="44" t="s">
        <v>388</v>
      </c>
      <c r="J102" s="43" t="str">
        <f>'1C'!$AF$1</f>
        <v>American Needle</v>
      </c>
      <c r="K102" s="104" t="s">
        <v>819</v>
      </c>
      <c r="L102" s="56" t="str">
        <f>IF(K102&lt;&gt;"",IFERROR(VLOOKUP(A102,'1C'!A:T,8,0),IFERROR(VLOOKUP(K102,Colors!D:E,2,0),"")),"")</f>
        <v>черный</v>
      </c>
      <c r="M102" s="145" t="str">
        <f>IF(K102&lt;&gt;"",IFERROR(VLOOKUP(A102,'1C'!A:T,18,0),IFERROR(VLOOKUP(K102,Colors!D:E,2,0),"")),"")</f>
        <v>черный</v>
      </c>
      <c r="N102" s="141" t="str">
        <f>Order!B100</f>
        <v>100% Хлопок</v>
      </c>
      <c r="O102" s="65"/>
      <c r="P102" s="63" t="s">
        <v>43</v>
      </c>
      <c r="Q102" s="59" t="str">
        <f>IF(P102&lt;&gt;"",IFERROR(VLOOKUP(P102,MaterialsTypes!F:G,2,0),IFERROR(VLOOKUP(N102,MaterialsTypes100,2,0),"")),IFERROR(VLOOKUP(N102,MaterialsTypes100,2,0),""))</f>
        <v>Текстиль, ткань</v>
      </c>
      <c r="R102" s="58" t="s">
        <v>382</v>
      </c>
      <c r="S102" s="44">
        <v>29</v>
      </c>
      <c r="AQ102" s="59">
        <f t="shared" si="1"/>
        <v>29</v>
      </c>
      <c r="AR102" s="66" t="str">
        <f>Order!A100</f>
        <v>BD</v>
      </c>
      <c r="AS102" s="56" t="str">
        <f ca="1">IF(BA102&gt;0,_xlfn.XLOOKUP(A102,'1C'!$A:$A,'1C'!P:P,"",0,),IF(AR102&lt;&gt;"",VLOOKUP(AR102,INDIRECT(SUBSTITUTE($J102," ","")&amp;"Manufactures"),3,0),"Требуется код страны"))</f>
        <v>American Needle, Inc; 1275 Busch Parkway, Buffalo Grove, IL 60089, USA</v>
      </c>
      <c r="AT102" s="56" t="str">
        <f ca="1">IF(BA102&gt;0,_xlfn.XLOOKUP(A102,'1C'!$A:$A,'1C'!O:O,"",0),IF(AR102&lt;&gt;"",VLOOKUP(AR102,INDIRECT(SUBSTITUTE($J102," ","")&amp;"Manufactures"),2,0),"Требуется код страны"))</f>
        <v>Бангладеш</v>
      </c>
      <c r="AU102" s="76">
        <f t="shared" si="2"/>
        <v>0.1</v>
      </c>
      <c r="AV102" s="43">
        <f t="shared" si="3"/>
        <v>0.15000000000000002</v>
      </c>
      <c r="AW102" s="43">
        <f t="shared" si="4"/>
        <v>2.9000000000000004</v>
      </c>
      <c r="AX102" s="43">
        <f t="shared" si="5"/>
        <v>4.3500000000000005</v>
      </c>
      <c r="AY102" s="155">
        <v>9.562413793103449</v>
      </c>
      <c r="AZ102" s="156">
        <f t="shared" si="6"/>
        <v>277.31</v>
      </c>
      <c r="BA102" s="45">
        <f>IF(A102&lt;&gt;"",IF(_xlfn.XLOOKUP(A102,'1C'!A:A,'1C'!A:A,0,0)&gt;0,1,0),"")</f>
        <v>0</v>
      </c>
      <c r="BB102" s="150">
        <f>IF(C102&lt;&gt;"",IF(_xlfn.XLOOKUP(C102,'1C'!S:S,'1C'!S:S,0,0)&gt;0,0,1),"")</f>
        <v>0</v>
      </c>
      <c r="BC102" s="45">
        <f t="shared" si="7"/>
        <v>1</v>
      </c>
    </row>
    <row r="103" spans="1:55" ht="124.7" customHeight="1">
      <c r="A103" s="43" t="str">
        <f t="shared" si="0"/>
        <v>36672A-MNWgreen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06-416-11</v>
      </c>
      <c r="C103" s="44" t="s">
        <v>2142</v>
      </c>
      <c r="D103" s="43" t="str">
        <f>VLOOKUP(C103,Names!A:B,2,0)</f>
        <v>MN WILD New Raglin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884</v>
      </c>
      <c r="H103" s="44" t="s">
        <v>388</v>
      </c>
      <c r="J103" s="43" t="str">
        <f>'1C'!$AF$1</f>
        <v>American Needle</v>
      </c>
      <c r="K103" s="104" t="s">
        <v>825</v>
      </c>
      <c r="L103" s="56" t="str">
        <f>IF(K103&lt;&gt;"",IFERROR(VLOOKUP(A103,'1C'!A:T,8,0),IFERROR(VLOOKUP(K103,Colors!D:E,2,0),"")),"")</f>
        <v>зеленый</v>
      </c>
      <c r="M103" s="145" t="str">
        <f>IF(K103&lt;&gt;"",IFERROR(VLOOKUP(A103,'1C'!A:T,18,0),IFERROR(VLOOKUP(K103,Colors!D:E,2,0),"")),"")</f>
        <v>зеленый</v>
      </c>
      <c r="N103" s="141" t="str">
        <f>Order!B101</f>
        <v>100% Хлопок</v>
      </c>
      <c r="O103" s="65"/>
      <c r="P103" s="63" t="s">
        <v>43</v>
      </c>
      <c r="Q103" s="59" t="str">
        <f>IF(P103&lt;&gt;"",IFERROR(VLOOKUP(P103,MaterialsTypes!F:G,2,0),IFERROR(VLOOKUP(N103,MaterialsTypes100,2,0),"")),IFERROR(VLOOKUP(N103,MaterialsTypes100,2,0),""))</f>
        <v>Текстиль, ткань</v>
      </c>
      <c r="R103" s="58" t="s">
        <v>382</v>
      </c>
      <c r="S103" s="44">
        <v>18</v>
      </c>
      <c r="AQ103" s="59">
        <f t="shared" si="1"/>
        <v>18</v>
      </c>
      <c r="AR103" s="66" t="str">
        <f>Order!A101</f>
        <v>BD</v>
      </c>
      <c r="AS103" s="56" t="str">
        <f ca="1">IF(BA103&gt;0,_xlfn.XLOOKUP(A103,'1C'!$A:$A,'1C'!P:P,"",0,),IF(AR103&lt;&gt;"",VLOOKUP(AR103,INDIRECT(SUBSTITUTE($J103," ","")&amp;"Manufactures"),3,0),"Требуется код страны"))</f>
        <v>American Needle, Inc; 1275 Busch Parkway, Buffalo Grove, IL 60089, USA</v>
      </c>
      <c r="AT103" s="56" t="str">
        <f ca="1">IF(BA103&gt;0,_xlfn.XLOOKUP(A103,'1C'!$A:$A,'1C'!O:O,"",0),IF(AR103&lt;&gt;"",VLOOKUP(AR103,INDIRECT(SUBSTITUTE($J103," ","")&amp;"Manufactures"),2,0),"Требуется код страны"))</f>
        <v>Бангладеш</v>
      </c>
      <c r="AU103" s="76">
        <f t="shared" si="2"/>
        <v>0.1</v>
      </c>
      <c r="AV103" s="43">
        <f t="shared" si="3"/>
        <v>0.15000000000000002</v>
      </c>
      <c r="AW103" s="43">
        <f t="shared" si="4"/>
        <v>1.8</v>
      </c>
      <c r="AX103" s="43">
        <f t="shared" si="5"/>
        <v>2.7</v>
      </c>
      <c r="AY103" s="155">
        <v>9.5627777777777769</v>
      </c>
      <c r="AZ103" s="156">
        <f t="shared" si="6"/>
        <v>172.13</v>
      </c>
      <c r="BA103" s="45">
        <f>IF(A103&lt;&gt;"",IF(_xlfn.XLOOKUP(A103,'1C'!A:A,'1C'!A:A,0,0)&gt;0,1,0),"")</f>
        <v>0</v>
      </c>
      <c r="BB103" s="150">
        <f>IF(C103&lt;&gt;"",IF(_xlfn.XLOOKUP(C103,'1C'!S:S,'1C'!S:S,0,0)&gt;0,0,1),"")</f>
        <v>0</v>
      </c>
      <c r="BC103" s="45">
        <f t="shared" si="7"/>
        <v>1</v>
      </c>
    </row>
    <row r="104" spans="1:55" ht="125.85" customHeight="1">
      <c r="A104" s="43" t="str">
        <f t="shared" si="0"/>
        <v>36672A-NHLblack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06-188-09</v>
      </c>
      <c r="C104" s="44" t="s">
        <v>2143</v>
      </c>
      <c r="D104" s="43" t="str">
        <f>IF(A104&lt;&gt;"",_xlfn.XLOOKUP(C104,'1C'!S:S,'1C'!T:T,"",0),"")</f>
        <v>Original 6 New Raglan NHL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IF(A104&lt;&gt;"",IF(BA104&gt;0,_xlfn.XLOOKUP(A104,'1C'!A:A,'1C'!J:J,"",0),_xlfn.XLOOKUP(C104,'1C'!S:S,'1C'!J:J,"",0)),"")</f>
        <v>Бейсболка</v>
      </c>
      <c r="G104" s="56" t="str">
        <f>IF(C104&lt;&gt;"",IF(BA104&gt;0,_xlfn.XLOOKUP(A104,'1C'!A:A,'1C'!L:L,"",0),_xlfn.XLOOKUP(C104,'1C'!S:S,'1C'!L:L,"",0)),"")</f>
        <v>Sport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American Needle</v>
      </c>
      <c r="K104" s="104" t="s">
        <v>819</v>
      </c>
      <c r="L104" s="59" t="str">
        <f>IF(K104&lt;&gt;"",IFERROR(VLOOKUP(A104,'1C'!A:T,8,0),IFERROR(VLOOKUP(K104,Colors!D:E,2,0),"")),"")</f>
        <v>черный</v>
      </c>
      <c r="M104" s="145" t="str">
        <f>IF(K104&lt;&gt;"",IFERROR(VLOOKUP(A104,'1C'!A:T,18,0),IFERROR(VLOOKUP(K104,Colors!D:E,2,0),"")),"")</f>
        <v>черный</v>
      </c>
      <c r="N104" s="147" t="str">
        <f>IF(A104&lt;&gt;"",_xlfn.XLOOKUP(A104,'1C'!A:A,'1C'!I:I,_xlfn.XLOOKUP(C104,'1C'!S:S,'1C'!I:I,"",0),0),"")</f>
        <v>100% хлопок</v>
      </c>
      <c r="O104" s="65"/>
      <c r="P104" s="43" t="str">
        <f>IF(A104&lt;&gt;"",_xlfn.XLOOKUP(A104,'1C'!A:A,'1C'!N:N,_xlfn.XLOOKUP(C104,'1C'!S:S,'1C'!N:N,"",0),0),"")</f>
        <v>хлопковые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S104" s="44">
        <v>74</v>
      </c>
      <c r="AQ104" s="59">
        <f t="shared" si="1"/>
        <v>74</v>
      </c>
      <c r="AR104" s="43" t="str">
        <f>IF(A104&lt;&gt;"",_xlfn.XLOOKUP(_xlfn.XLOOKUP(A104,'1C'!A:A,'1C'!O:O,_xlfn.XLOOKUP(C104,'1C'!S:S,'1C'!O:O,"",0),0),Settings!N:N,Settings!O:O,"",0),"")</f>
        <v>BD</v>
      </c>
      <c r="AS104" s="56" t="str">
        <f ca="1">IF(BA104&gt;0,_xlfn.XLOOKUP(A104,'1C'!$A:$A,'1C'!P:P,"",0,),IF(AR104&lt;&gt;"",VLOOKUP(AR104,INDIRECT(SUBSTITUTE($J104," ","")&amp;"Manufactures"),3,0),"Требуется код страны"))</f>
        <v>American Needle, Inc; 1275 Busch Parkway, Buffalo Grove, IL 60089, USA</v>
      </c>
      <c r="AT104" s="56" t="str">
        <f ca="1">IF(BA104&gt;0,_xlfn.XLOOKUP(A104,'1C'!$A:$A,'1C'!O:O,"",0),IF(AR104&lt;&gt;"",VLOOKUP(AR104,INDIRECT(SUBSTITUTE($J104," ","")&amp;"Manufactures"),2,0),"Требуется код страны"))</f>
        <v>Бангладеш</v>
      </c>
      <c r="AU104" s="76">
        <f t="shared" si="2"/>
        <v>0.1</v>
      </c>
      <c r="AV104" s="43">
        <f t="shared" si="3"/>
        <v>0.15000000000000002</v>
      </c>
      <c r="AW104" s="43">
        <f t="shared" si="4"/>
        <v>7.4</v>
      </c>
      <c r="AX104" s="43">
        <f t="shared" si="5"/>
        <v>11.100000000000001</v>
      </c>
      <c r="AY104" s="155">
        <v>9.5625675675675677</v>
      </c>
      <c r="AZ104" s="156">
        <f t="shared" si="6"/>
        <v>707.63</v>
      </c>
      <c r="BA104" s="45">
        <f>IF(A104&lt;&gt;"",IF(_xlfn.XLOOKUP(A104,'1C'!A:A,'1C'!A:A,0,0)&gt;0,1,0),"")</f>
        <v>1</v>
      </c>
      <c r="BB104" s="150">
        <f>IF(C104&lt;&gt;"",IF(_xlfn.XLOOKUP(C104,'1C'!S:S,'1C'!S:S,0,0)&gt;0,0,1),"")</f>
        <v>0</v>
      </c>
      <c r="BC104" s="45">
        <f t="shared" si="7"/>
        <v>0</v>
      </c>
    </row>
    <row r="105" spans="1:55" ht="119.65" customHeight="1">
      <c r="A105" s="43" t="str">
        <f t="shared" si="0"/>
        <v>36672A-SJSblack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06-417-09</v>
      </c>
      <c r="C105" s="44" t="s">
        <v>2144</v>
      </c>
      <c r="D105" s="43" t="str">
        <f>VLOOKUP(C105,Names!A:B,2,0)</f>
        <v>SJ SHARKS New Raglin</v>
      </c>
      <c r="E105" s="43" t="str">
        <f>IF(F105&lt;&gt;"",IFERROR(VLOOKUP(F105,Категории!A:B,2,0),""),"Требуется категория")</f>
        <v>Бейсболки</v>
      </c>
      <c r="F105" s="44" t="s">
        <v>327</v>
      </c>
      <c r="G105" s="63" t="s">
        <v>884</v>
      </c>
      <c r="H105" s="44" t="s">
        <v>388</v>
      </c>
      <c r="J105" s="43" t="str">
        <f>'1C'!$AF$1</f>
        <v>American Needle</v>
      </c>
      <c r="K105" s="104" t="s">
        <v>819</v>
      </c>
      <c r="L105" s="59" t="str">
        <f>IF(K105&lt;&gt;"",IFERROR(VLOOKUP(A105,'1C'!A:T,8,0),IFERROR(VLOOKUP(K105,Colors!D:E,2,0),"")),"")</f>
        <v>черный</v>
      </c>
      <c r="M105" s="145" t="str">
        <f>IF(K105&lt;&gt;"",IFERROR(VLOOKUP(A105,'1C'!A:T,18,0),IFERROR(VLOOKUP(K105,Colors!D:E,2,0),"")),"")</f>
        <v>черный</v>
      </c>
      <c r="N105" s="141" t="str">
        <f>Order!B103</f>
        <v>100% Хлопок</v>
      </c>
      <c r="O105" s="65"/>
      <c r="P105" s="44" t="s">
        <v>43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58" t="s">
        <v>382</v>
      </c>
      <c r="S105" s="44">
        <v>29</v>
      </c>
      <c r="AQ105" s="59">
        <f t="shared" si="1"/>
        <v>29</v>
      </c>
      <c r="AR105" s="66" t="str">
        <f>Order!A103</f>
        <v>BD</v>
      </c>
      <c r="AS105" s="56" t="str">
        <f ca="1">IF(BA105&gt;0,_xlfn.XLOOKUP(A105,'1C'!$A:$A,'1C'!P:P,"",0,),IF(AR105&lt;&gt;"",VLOOKUP(AR105,INDIRECT(SUBSTITUTE($J105," ","")&amp;"Manufactures"),3,0),"Требуется код страны"))</f>
        <v>American Needle, Inc; 1275 Busch Parkway, Buffalo Grove, IL 60089, USA</v>
      </c>
      <c r="AT105" s="56" t="str">
        <f ca="1">IF(BA105&gt;0,_xlfn.XLOOKUP(A105,'1C'!$A:$A,'1C'!O:O,"",0),IF(AR105&lt;&gt;"",VLOOKUP(AR105,INDIRECT(SUBSTITUTE($J105," ","")&amp;"Manufactures"),2,0),"Требуется код страны"))</f>
        <v>Бангладеш</v>
      </c>
      <c r="AU105" s="76">
        <f t="shared" si="2"/>
        <v>0.1</v>
      </c>
      <c r="AV105" s="43">
        <f t="shared" si="3"/>
        <v>0.15000000000000002</v>
      </c>
      <c r="AW105" s="43">
        <f t="shared" si="4"/>
        <v>2.9000000000000004</v>
      </c>
      <c r="AX105" s="43">
        <f t="shared" si="5"/>
        <v>4.3500000000000005</v>
      </c>
      <c r="AY105" s="155">
        <v>9.562413793103449</v>
      </c>
      <c r="AZ105" s="156">
        <f t="shared" si="6"/>
        <v>277.31</v>
      </c>
      <c r="BA105" s="45">
        <f>IF(A105&lt;&gt;"",IF(_xlfn.XLOOKUP(A105,'1C'!A:A,'1C'!A:A,0,0)&gt;0,1,0),"")</f>
        <v>0</v>
      </c>
      <c r="BB105" s="150">
        <f>IF(C105&lt;&gt;"",IF(_xlfn.XLOOKUP(C105,'1C'!S:S,'1C'!S:S,0,0)&gt;0,0,1),"")</f>
        <v>0</v>
      </c>
      <c r="BC105" s="45">
        <f t="shared" si="7"/>
        <v>1</v>
      </c>
    </row>
    <row r="106" spans="1:55" ht="115.7" customHeight="1">
      <c r="A106" s="43" t="str">
        <f t="shared" si="0"/>
        <v>400A1V-CHFnavy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06-418-16</v>
      </c>
      <c r="C106" s="44" t="s">
        <v>2145</v>
      </c>
      <c r="D106" s="43" t="str">
        <f>VLOOKUP(C106,Names!A:B,2,0)</f>
        <v>Chicago Federals Replica Wool</v>
      </c>
      <c r="E106" s="43" t="str">
        <f>IF(F106&lt;&gt;"",IFERROR(VLOOKUP(F106,Категории!A:B,2,0),""),"Требуется категория")</f>
        <v>Бейсболки</v>
      </c>
      <c r="F106" s="44" t="s">
        <v>792</v>
      </c>
      <c r="G106" s="63" t="s">
        <v>884</v>
      </c>
      <c r="H106" s="44" t="s">
        <v>388</v>
      </c>
      <c r="J106" s="43" t="str">
        <f>'1C'!$AF$1</f>
        <v>American Needle</v>
      </c>
      <c r="K106" s="104" t="s">
        <v>818</v>
      </c>
      <c r="L106" s="56" t="str">
        <f>IF(K106&lt;&gt;"",IFERROR(VLOOKUP(A106,'1C'!A:T,8,0),IFERROR(VLOOKUP(K106,Colors!D:E,2,0),"")),"")</f>
        <v>темно-синий</v>
      </c>
      <c r="M106" s="145" t="str">
        <f>IF(K106&lt;&gt;"",IFERROR(VLOOKUP(A106,'1C'!A:T,18,0),IFERROR(VLOOKUP(K106,Colors!D:E,2,0),"")),"")</f>
        <v>темно-синий</v>
      </c>
      <c r="N106" s="141" t="str">
        <f>Order!B104</f>
        <v>80% Акрил - 20% Шерсть</v>
      </c>
      <c r="O106" s="65"/>
      <c r="P106" s="63" t="s">
        <v>44</v>
      </c>
      <c r="Q106" s="59" t="s">
        <v>15</v>
      </c>
      <c r="R106" s="58" t="s">
        <v>382</v>
      </c>
      <c r="S106" s="44">
        <v>6</v>
      </c>
      <c r="AQ106" s="59">
        <f t="shared" si="1"/>
        <v>6</v>
      </c>
      <c r="AR106" s="66" t="str">
        <f>Order!A104</f>
        <v>BD</v>
      </c>
      <c r="AS106" s="56" t="str">
        <f ca="1">IF(BA106&gt;0,_xlfn.XLOOKUP(A106,'1C'!$A:$A,'1C'!P:P,"",0,),IF(AR106&lt;&gt;"",VLOOKUP(AR106,INDIRECT(SUBSTITUTE($J106," ","")&amp;"Manufactures"),3,0),"Требуется код страны"))</f>
        <v>American Needle, Inc; 1275 Busch Parkway, Buffalo Grove, IL 60089, USA</v>
      </c>
      <c r="AT106" s="56" t="str">
        <f ca="1">IF(BA106&gt;0,_xlfn.XLOOKUP(A106,'1C'!$A:$A,'1C'!O:O,"",0),IF(AR106&lt;&gt;"",VLOOKUP(AR106,INDIRECT(SUBSTITUTE($J106," ","")&amp;"Manufactures"),2,0),"Требуется код страны"))</f>
        <v>Бангладеш</v>
      </c>
      <c r="AU106" s="76">
        <f t="shared" si="2"/>
        <v>0.1</v>
      </c>
      <c r="AV106" s="43">
        <f t="shared" si="3"/>
        <v>0.15000000000000002</v>
      </c>
      <c r="AW106" s="43">
        <f t="shared" si="4"/>
        <v>0.60000000000000009</v>
      </c>
      <c r="AX106" s="43">
        <f t="shared" si="5"/>
        <v>0.90000000000000013</v>
      </c>
      <c r="AY106" s="155">
        <v>9.7750000000000004</v>
      </c>
      <c r="AZ106" s="156">
        <f t="shared" si="6"/>
        <v>58.650000000000006</v>
      </c>
      <c r="BA106" s="45">
        <f>IF(A106&lt;&gt;"",IF(_xlfn.XLOOKUP(A106,'1C'!A:A,'1C'!A:A,0,0)&gt;0,1,0),"")</f>
        <v>0</v>
      </c>
      <c r="BB106" s="150">
        <f>IF(C106&lt;&gt;"",IF(_xlfn.XLOOKUP(C106,'1C'!S:S,'1C'!S:S,0,0)&gt;0,0,1),"")</f>
        <v>0</v>
      </c>
      <c r="BC106" s="45">
        <f t="shared" si="7"/>
        <v>1</v>
      </c>
    </row>
    <row r="107" spans="1:55" ht="115.7" customHeight="1">
      <c r="A107" s="43" t="str">
        <f t="shared" si="0"/>
        <v>400A1V-CXGbkpu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06-008-09</v>
      </c>
      <c r="C107" s="44" t="s">
        <v>2146</v>
      </c>
      <c r="D107" s="43" t="str">
        <f>IF(A107&lt;&gt;"",_xlfn.XLOOKUP(C107,'1C'!S:S,'1C'!T:T,"",0),"")</f>
        <v>Cuban X-Giants 400 Series MILB</v>
      </c>
      <c r="E107" s="43" t="str">
        <f>IF(F107&lt;&gt;"",IFERROR(VLOOKUP(F107,Категории!A:B,2,0),""),"Требуется категория")</f>
        <v>Бейсболки</v>
      </c>
      <c r="F107" s="43" t="str">
        <f>IF(A107&lt;&gt;"",IF(BA107&gt;0,_xlfn.XLOOKUP(A107,'1C'!A:A,'1C'!J:J,"",0),_xlfn.XLOOKUP(C107,'1C'!S:S,'1C'!J:J,"",0)),"")</f>
        <v>Бейсболка с прямым козырьком</v>
      </c>
      <c r="G107" s="56" t="str">
        <f>IF(C107&lt;&gt;"",IF(BA107&gt;0,_xlfn.XLOOKUP(A107,'1C'!A:A,'1C'!L:L,"",0),_xlfn.XLOOKUP(C107,'1C'!S:S,'1C'!L:L,"",0)),"")</f>
        <v>AMERICAN NEEDLE-Sport</v>
      </c>
      <c r="H107" s="43" t="str">
        <f>IF(A107&lt;&gt;"",_xlfn.XLOOKUP(A107,'1C'!A:A,'1C'!M:M,_xlfn.XLOOKUP(C107,'1C'!S:S,'1C'!M:M,"",0),0))</f>
        <v>всесезон</v>
      </c>
      <c r="J107" s="43" t="str">
        <f>'1C'!$AF$1</f>
        <v>American Needle</v>
      </c>
      <c r="K107" s="104" t="s">
        <v>898</v>
      </c>
      <c r="L107" s="56" t="str">
        <f>IF(K107&lt;&gt;"",IFERROR(VLOOKUP(A107,'1C'!A:T,8,0),IFERROR(VLOOKUP(K107,Colors!D:E,2,0),"")),"")</f>
        <v>черный / фиолетовый</v>
      </c>
      <c r="M107" s="145" t="str">
        <f>IF(K107&lt;&gt;"",IFERROR(VLOOKUP(A107,'1C'!A:T,18,0),IFERROR(VLOOKUP(K107,Colors!D:E,2,0),"")),"")</f>
        <v>черный</v>
      </c>
      <c r="N107" s="56" t="str">
        <f>IF(A107&lt;&gt;"",_xlfn.XLOOKUP(A107,'1C'!A:A,'1C'!I:I,_xlfn.XLOOKUP(C107,'1C'!S:S,'1C'!I:I,"",0),0),"")</f>
        <v>80% акрил - 20% шерсть</v>
      </c>
      <c r="O107" s="65"/>
      <c r="P107" s="56" t="str">
        <f>IF(A107&lt;&gt;"",_xlfn.XLOOKUP(A107,'1C'!A:A,'1C'!N:N,_xlfn.XLOOKUP(C107,'1C'!S:S,'1C'!N:N,"",0),0),"")</f>
        <v>шерстяные</v>
      </c>
      <c r="Q107" s="59" t="s">
        <v>15</v>
      </c>
      <c r="R107" s="59" t="str">
        <f>IF(A107&lt;&gt;"",_xlfn.XLOOKUP(A107,'1C'!A:A,'1C'!K:K,_xlfn.XLOOKUP(C107,'1C'!S:S,'1C'!K:K,"",0),0),"")</f>
        <v>Унисекс</v>
      </c>
      <c r="S107" s="44">
        <v>4</v>
      </c>
      <c r="AQ107" s="59">
        <f t="shared" si="1"/>
        <v>4</v>
      </c>
      <c r="AR107" s="43" t="str">
        <f>IF(A107&lt;&gt;"",_xlfn.XLOOKUP(_xlfn.XLOOKUP(A107,'1C'!A:A,'1C'!O:O,_xlfn.XLOOKUP(C107,'1C'!S:S,'1C'!O:O,"",0),0),Settings!N:N,Settings!O:O,"",0),"")</f>
        <v>BD</v>
      </c>
      <c r="AS107" s="56" t="str">
        <f ca="1">IF(BA107&gt;0,_xlfn.XLOOKUP(A107,'1C'!$A:$A,'1C'!P:P,"",0,),IF(AR107&lt;&gt;"",VLOOKUP(AR107,INDIRECT(SUBSTITUTE($J107," ","")&amp;"Manufactures"),3,0),"Требуется код страны"))</f>
        <v>American Needle, Inc; 1275 Busch Parkway, Buffalo Grove, IL 60089, USA</v>
      </c>
      <c r="AT107" s="56" t="str">
        <f ca="1">IF(BA107&gt;0,_xlfn.XLOOKUP(A107,'1C'!$A:$A,'1C'!O:O,"",0),IF(AR107&lt;&gt;"",VLOOKUP(AR107,INDIRECT(SUBSTITUTE($J107," ","")&amp;"Manufactures"),2,0),"Требуется код страны"))</f>
        <v>Бангладеш</v>
      </c>
      <c r="AU107" s="76">
        <f t="shared" si="2"/>
        <v>0.1</v>
      </c>
      <c r="AV107" s="43">
        <f t="shared" si="3"/>
        <v>0.15000000000000002</v>
      </c>
      <c r="AW107" s="43">
        <f t="shared" si="4"/>
        <v>0.4</v>
      </c>
      <c r="AX107" s="43">
        <f t="shared" si="5"/>
        <v>0.60000000000000009</v>
      </c>
      <c r="AY107" s="155">
        <v>9.7750000000000004</v>
      </c>
      <c r="AZ107" s="156">
        <f t="shared" si="6"/>
        <v>39.1</v>
      </c>
      <c r="BA107" s="45">
        <f>IF(A107&lt;&gt;"",IF(_xlfn.XLOOKUP(A107,'1C'!A:A,'1C'!A:A,0,0)&gt;0,1,0),"")</f>
        <v>1</v>
      </c>
      <c r="BB107" s="150">
        <f>IF(C107&lt;&gt;"",IF(_xlfn.XLOOKUP(C107,'1C'!S:S,'1C'!S:S,0,0)&gt;0,0,1),"")</f>
        <v>0</v>
      </c>
      <c r="BC107" s="45">
        <f t="shared" si="7"/>
        <v>0</v>
      </c>
    </row>
    <row r="108" spans="1:55" ht="101.65" customHeight="1">
      <c r="A108" s="43" t="str">
        <f t="shared" si="0"/>
        <v>400A1V-HAIkgrn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06-010-11</v>
      </c>
      <c r="C108" s="44" t="s">
        <v>2147</v>
      </c>
      <c r="D108" s="43" t="str">
        <f>IF(A108&lt;&gt;"",_xlfn.XLOOKUP(C108,'1C'!S:S,'1C'!T:T,"",0),"")</f>
        <v>Hawaii Islanders 400 Series MILB</v>
      </c>
      <c r="E108" s="43" t="str">
        <f>IF(F108&lt;&gt;"",IFERROR(VLOOKUP(F108,Категории!A:B,2,0),""),"Требуется категория")</f>
        <v>Бейсболки</v>
      </c>
      <c r="F108" s="43" t="str">
        <f>IF(A108&lt;&gt;"",IF(BA108&gt;0,_xlfn.XLOOKUP(A108,'1C'!A:A,'1C'!J:J,"",0),_xlfn.XLOOKUP(C108,'1C'!S:S,'1C'!J:J,"",0)),"")</f>
        <v>Бейсболка с прямым козырьком</v>
      </c>
      <c r="G108" s="56" t="str">
        <f>IF(C108&lt;&gt;"",IF(BA108&gt;0,_xlfn.XLOOKUP(A108,'1C'!A:A,'1C'!L:L,"",0),_xlfn.XLOOKUP(C108,'1C'!S:S,'1C'!L:L,"",0)),"")</f>
        <v>AMERICAN NEEDLE-Sport</v>
      </c>
      <c r="H108" s="43" t="str">
        <f>IF(A108&lt;&gt;"",_xlfn.XLOOKUP(A108,'1C'!A:A,'1C'!M:M,_xlfn.XLOOKUP(C108,'1C'!S:S,'1C'!M:M,"",0),0))</f>
        <v>всесезон</v>
      </c>
      <c r="J108" s="43" t="str">
        <f>'1C'!$AF$1</f>
        <v>American Needle</v>
      </c>
      <c r="K108" s="104" t="s">
        <v>905</v>
      </c>
      <c r="L108" s="56" t="str">
        <f>IF(K108&lt;&gt;"",IFERROR(VLOOKUP(A108,'1C'!A:T,8,0),IFERROR(VLOOKUP(K108,Colors!D:E,2,0),"")),"")</f>
        <v>зеленый</v>
      </c>
      <c r="M108" s="145" t="str">
        <f>IF(K108&lt;&gt;"",IFERROR(VLOOKUP(A108,'1C'!A:T,18,0),IFERROR(VLOOKUP(K108,Colors!D:E,2,0),"")),"")</f>
        <v>зеленый</v>
      </c>
      <c r="N108" s="56" t="str">
        <f>IF(A108&lt;&gt;"",_xlfn.XLOOKUP(A108,'1C'!A:A,'1C'!I:I,_xlfn.XLOOKUP(C108,'1C'!S:S,'1C'!I:I,"",0),0),"")</f>
        <v>80% акрил - 20% шерсть</v>
      </c>
      <c r="O108" s="65"/>
      <c r="P108" s="56" t="str">
        <f>IF(A108&lt;&gt;"",_xlfn.XLOOKUP(A108,'1C'!A:A,'1C'!N:N,_xlfn.XLOOKUP(C108,'1C'!S:S,'1C'!N:N,"",0),0),"")</f>
        <v>шерстяные</v>
      </c>
      <c r="Q108" s="59" t="s">
        <v>15</v>
      </c>
      <c r="R108" s="59" t="str">
        <f>IF(A108&lt;&gt;"",_xlfn.XLOOKUP(A108,'1C'!A:A,'1C'!K:K,_xlfn.XLOOKUP(C108,'1C'!S:S,'1C'!K:K,"",0),0),"")</f>
        <v>Унисекс</v>
      </c>
      <c r="S108" s="44">
        <v>8</v>
      </c>
      <c r="AQ108" s="59">
        <f t="shared" si="1"/>
        <v>8</v>
      </c>
      <c r="AR108" s="43" t="str">
        <f>IF(A108&lt;&gt;"",_xlfn.XLOOKUP(_xlfn.XLOOKUP(A108,'1C'!A:A,'1C'!O:O,_xlfn.XLOOKUP(C108,'1C'!S:S,'1C'!O:O,"",0),0),Settings!N:N,Settings!O:O,"",0),"")</f>
        <v>BD</v>
      </c>
      <c r="AS108" s="56" t="str">
        <f ca="1">IF(BA108&gt;0,_xlfn.XLOOKUP(A108,'1C'!$A:$A,'1C'!P:P,"",0,),IF(AR108&lt;&gt;"",VLOOKUP(AR108,INDIRECT(SUBSTITUTE($J108," ","")&amp;"Manufactures"),3,0),"Требуется код страны"))</f>
        <v>American Needle, Inc; 1275 Busch Parkway, Buffalo Grove, IL 60089, USA</v>
      </c>
      <c r="AT108" s="56" t="str">
        <f ca="1">IF(BA108&gt;0,_xlfn.XLOOKUP(A108,'1C'!$A:$A,'1C'!O:O,"",0),IF(AR108&lt;&gt;"",VLOOKUP(AR108,INDIRECT(SUBSTITUTE($J108," ","")&amp;"Manufactures"),2,0),"Требуется код страны"))</f>
        <v>Бангладеш</v>
      </c>
      <c r="AU108" s="76">
        <f t="shared" si="2"/>
        <v>0.1</v>
      </c>
      <c r="AV108" s="43">
        <f t="shared" si="3"/>
        <v>0.15000000000000002</v>
      </c>
      <c r="AW108" s="43">
        <f t="shared" si="4"/>
        <v>0.8</v>
      </c>
      <c r="AX108" s="43">
        <f t="shared" si="5"/>
        <v>1.2000000000000002</v>
      </c>
      <c r="AY108" s="155">
        <v>9.7750000000000004</v>
      </c>
      <c r="AZ108" s="156">
        <f t="shared" si="6"/>
        <v>78.2</v>
      </c>
      <c r="BA108" s="45">
        <f>IF(A108&lt;&gt;"",IF(_xlfn.XLOOKUP(A108,'1C'!A:A,'1C'!A:A,0,0)&gt;0,1,0),"")</f>
        <v>1</v>
      </c>
      <c r="BB108" s="150">
        <f>IF(C108&lt;&gt;"",IF(_xlfn.XLOOKUP(C108,'1C'!S:S,'1C'!S:S,0,0)&gt;0,0,1),"")</f>
        <v>0</v>
      </c>
      <c r="BC108" s="45">
        <f t="shared" si="7"/>
        <v>0</v>
      </c>
    </row>
    <row r="109" spans="1:55" ht="115.7" customHeight="1">
      <c r="A109" s="43" t="str">
        <f t="shared" si="0"/>
        <v>400A1V-HOSgyrd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06-011-08</v>
      </c>
      <c r="C109" s="44" t="s">
        <v>2148</v>
      </c>
      <c r="D109" s="43" t="str">
        <f>IF(A109&lt;&gt;"",_xlfn.XLOOKUP(C109,'1C'!S:S,'1C'!T:T,"",0),"")</f>
        <v>Hollywood Stars 400 Series MILB</v>
      </c>
      <c r="E109" s="43" t="str">
        <f>IF(F109&lt;&gt;"",IFERROR(VLOOKUP(F109,Категории!A:B,2,0),""),"Требуется категория")</f>
        <v>Бейсболки</v>
      </c>
      <c r="F109" s="43" t="str">
        <f>IF(A109&lt;&gt;"",IF(BA109&gt;0,_xlfn.XLOOKUP(A109,'1C'!A:A,'1C'!J:J,"",0),_xlfn.XLOOKUP(C109,'1C'!S:S,'1C'!J:J,"",0)),"")</f>
        <v>Бейсболка с прямым козырьком</v>
      </c>
      <c r="G109" s="56" t="str">
        <f>IF(C109&lt;&gt;"",IF(BA109&gt;0,_xlfn.XLOOKUP(A109,'1C'!A:A,'1C'!L:L,"",0),_xlfn.XLOOKUP(C109,'1C'!S:S,'1C'!L:L,"",0)),"")</f>
        <v>AMERICAN NEEDLE-Sport</v>
      </c>
      <c r="H109" s="43" t="str">
        <f>IF(A109&lt;&gt;"",_xlfn.XLOOKUP(A109,'1C'!A:A,'1C'!M:M,_xlfn.XLOOKUP(C109,'1C'!S:S,'1C'!M:M,"",0),0))</f>
        <v>всесезон</v>
      </c>
      <c r="J109" s="43" t="str">
        <f>'1C'!$AF$1</f>
        <v>American Needle</v>
      </c>
      <c r="K109" s="104" t="s">
        <v>909</v>
      </c>
      <c r="L109" s="56" t="str">
        <f>IF(K109&lt;&gt;"",IFERROR(VLOOKUP(A109,'1C'!A:T,8,0),IFERROR(VLOOKUP(K109,Colors!D:E,2,0),"")),"")</f>
        <v>серый / красный</v>
      </c>
      <c r="M109" s="145" t="str">
        <f>IF(K109&lt;&gt;"",IFERROR(VLOOKUP(A109,'1C'!A:T,18,0),IFERROR(VLOOKUP(K109,Colors!D:E,2,0),"")),"")</f>
        <v>серый</v>
      </c>
      <c r="N109" s="56" t="str">
        <f>IF(A109&lt;&gt;"",_xlfn.XLOOKUP(A109,'1C'!A:A,'1C'!I:I,_xlfn.XLOOKUP(C109,'1C'!S:S,'1C'!I:I,"",0),0),"")</f>
        <v>80% акрил - 20% шерсть</v>
      </c>
      <c r="O109" s="65"/>
      <c r="P109" s="56" t="str">
        <f>IF(A109&lt;&gt;"",_xlfn.XLOOKUP(A109,'1C'!A:A,'1C'!N:N,_xlfn.XLOOKUP(C109,'1C'!S:S,'1C'!N:N,"",0),0),"")</f>
        <v>шерстяные</v>
      </c>
      <c r="Q109" s="59" t="s">
        <v>15</v>
      </c>
      <c r="R109" s="59" t="str">
        <f>IF(A109&lt;&gt;"",_xlfn.XLOOKUP(A109,'1C'!A:A,'1C'!K:K,_xlfn.XLOOKUP(C109,'1C'!S:S,'1C'!K:K,"",0),0),"")</f>
        <v>Унисекс</v>
      </c>
      <c r="S109" s="44">
        <v>6</v>
      </c>
      <c r="AQ109" s="59">
        <f t="shared" si="1"/>
        <v>6</v>
      </c>
      <c r="AR109" s="43" t="str">
        <f>IF(A109&lt;&gt;"",_xlfn.XLOOKUP(_xlfn.XLOOKUP(A109,'1C'!A:A,'1C'!O:O,_xlfn.XLOOKUP(C109,'1C'!S:S,'1C'!O:O,"",0),0),Settings!N:N,Settings!O:O,"",0),"")</f>
        <v>BD</v>
      </c>
      <c r="AS109" s="56" t="str">
        <f ca="1">IF(BA109&gt;0,_xlfn.XLOOKUP(A109,'1C'!$A:$A,'1C'!P:P,"",0,),IF(AR109&lt;&gt;"",VLOOKUP(AR109,INDIRECT(SUBSTITUTE($J109," ","")&amp;"Manufactures"),3,0),"Требуется код страны"))</f>
        <v>American Needle, Inc; 1275 Busch Parkway, Buffalo Grove, IL 60089, USA</v>
      </c>
      <c r="AT109" s="56" t="str">
        <f ca="1">IF(BA109&gt;0,_xlfn.XLOOKUP(A109,'1C'!$A:$A,'1C'!O:O,"",0),IF(AR109&lt;&gt;"",VLOOKUP(AR109,INDIRECT(SUBSTITUTE($J109," ","")&amp;"Manufactures"),2,0),"Требуется код страны"))</f>
        <v>Бангладеш</v>
      </c>
      <c r="AU109" s="76">
        <f t="shared" si="2"/>
        <v>0.1</v>
      </c>
      <c r="AV109" s="43">
        <f t="shared" si="3"/>
        <v>0.15000000000000002</v>
      </c>
      <c r="AW109" s="43">
        <f t="shared" si="4"/>
        <v>0.60000000000000009</v>
      </c>
      <c r="AX109" s="43">
        <f t="shared" si="5"/>
        <v>0.90000000000000013</v>
      </c>
      <c r="AY109" s="155">
        <v>9.7750000000000004</v>
      </c>
      <c r="AZ109" s="156">
        <f t="shared" si="6"/>
        <v>58.650000000000006</v>
      </c>
      <c r="BA109" s="45">
        <f>IF(A109&lt;&gt;"",IF(_xlfn.XLOOKUP(A109,'1C'!A:A,'1C'!A:A,0,0)&gt;0,1,0),"")</f>
        <v>1</v>
      </c>
      <c r="BB109" s="150">
        <f>IF(C109&lt;&gt;"",IF(_xlfn.XLOOKUP(C109,'1C'!S:S,'1C'!S:S,0,0)&gt;0,0,1),"")</f>
        <v>0</v>
      </c>
      <c r="BC109" s="45">
        <f t="shared" si="7"/>
        <v>0</v>
      </c>
    </row>
    <row r="110" spans="1:55" ht="115.7" customHeight="1">
      <c r="A110" s="43" t="str">
        <f t="shared" si="0"/>
        <v>40742A-CBHblack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06-196-09</v>
      </c>
      <c r="C110" s="44" t="s">
        <v>2149</v>
      </c>
      <c r="D110" s="43" t="str">
        <f>IF(A110&lt;&gt;"",_xlfn.XLOOKUP(C110,'1C'!S:S,'1C'!T:T,"",0),"")</f>
        <v>Chicago Blackhawks Blue Line NHL</v>
      </c>
      <c r="E110" s="43" t="str">
        <f>IF(F110&lt;&gt;"",IFERROR(VLOOKUP(F110,Категории!A:B,2,0),""),"Требуется категория")</f>
        <v>Бейсболки</v>
      </c>
      <c r="F110" s="43" t="str">
        <f>IF(A110&lt;&gt;"",IF(BA110&gt;0,_xlfn.XLOOKUP(A110,'1C'!A:A,'1C'!J:J,"",0),_xlfn.XLOOKUP(C110,'1C'!S:S,'1C'!J:J,"",0)),"")</f>
        <v>Бейсболка</v>
      </c>
      <c r="G110" s="56" t="str">
        <f>IF(C110&lt;&gt;"",IF(BA110&gt;0,_xlfn.XLOOKUP(A110,'1C'!A:A,'1C'!L:L,"",0),_xlfn.XLOOKUP(C110,'1C'!S:S,'1C'!L:L,"",0)),"")</f>
        <v>Sport</v>
      </c>
      <c r="H110" s="43" t="str">
        <f>IF(A110&lt;&gt;"",_xlfn.XLOOKUP(A110,'1C'!A:A,'1C'!M:M,_xlfn.XLOOKUP(C110,'1C'!S:S,'1C'!M:M,"",0),0))</f>
        <v>всесезон</v>
      </c>
      <c r="J110" s="43" t="str">
        <f>'1C'!$AF$1</f>
        <v>American Needle</v>
      </c>
      <c r="K110" s="104" t="s">
        <v>819</v>
      </c>
      <c r="L110" s="56" t="str">
        <f>IF(K110&lt;&gt;"",IFERROR(VLOOKUP(A110,'1C'!A:T,8,0),IFERROR(VLOOKUP(K110,Colors!D:E,2,0),"")),"")</f>
        <v>черный</v>
      </c>
      <c r="M110" s="145" t="str">
        <f>IF(K110&lt;&gt;"",IFERROR(VLOOKUP(A110,'1C'!A:T,18,0),IFERROR(VLOOKUP(K110,Colors!D:E,2,0),"")),"")</f>
        <v>черный</v>
      </c>
      <c r="N110" s="56" t="str">
        <f>IF(A110&lt;&gt;"",_xlfn.XLOOKUP(A110,'1C'!A:A,'1C'!I:I,_xlfn.XLOOKUP(C110,'1C'!S:S,'1C'!I:I,"",0),0),"")</f>
        <v>100% хлопок</v>
      </c>
      <c r="O110" s="65"/>
      <c r="P110" s="56" t="str">
        <f>IF(A110&lt;&gt;"",_xlfn.XLOOKUP(A110,'1C'!A:A,'1C'!N:N,_xlfn.XLOOKUP(C110,'1C'!S:S,'1C'!N:N,"",0),0),"")</f>
        <v>хлопковые</v>
      </c>
      <c r="Q110" s="59" t="str">
        <f>IF(P110&lt;&gt;"",IFERROR(VLOOKUP(P110,MaterialsTypes!F:G,2,0),IFERROR(VLOOKUP(N110,MaterialsTypes100,2,0),"")),IFERROR(VLOOKUP(N110,MaterialsTypes100,2,0),""))</f>
        <v>Текстиль, ткань</v>
      </c>
      <c r="R110" s="59" t="str">
        <f>IF(A110&lt;&gt;"",_xlfn.XLOOKUP(A110,'1C'!A:A,'1C'!K:K,_xlfn.XLOOKUP(C110,'1C'!S:S,'1C'!K:K,"",0),0),"")</f>
        <v>Унисекс</v>
      </c>
      <c r="S110" s="44">
        <v>12</v>
      </c>
      <c r="AQ110" s="59">
        <f t="shared" si="1"/>
        <v>12</v>
      </c>
      <c r="AR110" s="43" t="str">
        <f>IF(A110&lt;&gt;"",_xlfn.XLOOKUP(_xlfn.XLOOKUP(A110,'1C'!A:A,'1C'!O:O,_xlfn.XLOOKUP(C110,'1C'!S:S,'1C'!O:O,"",0),0),Settings!N:N,Settings!O:O,"",0),"")</f>
        <v>BD</v>
      </c>
      <c r="AS110" s="56" t="str">
        <f ca="1">IF(BA110&gt;0,_xlfn.XLOOKUP(A110,'1C'!$A:$A,'1C'!P:P,"",0,),IF(AR110&lt;&gt;"",VLOOKUP(AR110,INDIRECT(SUBSTITUTE($J110," ","")&amp;"Manufactures"),3,0),"Требуется код страны"))</f>
        <v>American Needle, Inc; 1275 Busch Parkway, Buffalo Grove, IL 60089, USA</v>
      </c>
      <c r="AT110" s="56" t="str">
        <f ca="1">IF(BA110&gt;0,_xlfn.XLOOKUP(A110,'1C'!$A:$A,'1C'!O:O,"",0),IF(AR110&lt;&gt;"",VLOOKUP(AR110,INDIRECT(SUBSTITUTE($J110," ","")&amp;"Manufactures"),2,0),"Требуется код страны"))</f>
        <v>Бангладеш</v>
      </c>
      <c r="AU110" s="76">
        <f t="shared" si="2"/>
        <v>0.1</v>
      </c>
      <c r="AV110" s="43">
        <f t="shared" si="3"/>
        <v>0.15000000000000002</v>
      </c>
      <c r="AW110" s="43">
        <f t="shared" si="4"/>
        <v>1.2000000000000002</v>
      </c>
      <c r="AX110" s="43">
        <f t="shared" si="5"/>
        <v>1.8000000000000003</v>
      </c>
      <c r="AY110" s="155">
        <v>7.8624999999999998</v>
      </c>
      <c r="AZ110" s="156">
        <f t="shared" si="6"/>
        <v>94.35</v>
      </c>
      <c r="BA110" s="45">
        <f>IF(A110&lt;&gt;"",IF(_xlfn.XLOOKUP(A110,'1C'!A:A,'1C'!A:A,0,0)&gt;0,1,0),"")</f>
        <v>1</v>
      </c>
      <c r="BB110" s="150">
        <f>IF(C110&lt;&gt;"",IF(_xlfn.XLOOKUP(C110,'1C'!S:S,'1C'!S:S,0,0)&gt;0,0,1),"")</f>
        <v>0</v>
      </c>
      <c r="BC110" s="45">
        <f t="shared" si="7"/>
        <v>0</v>
      </c>
    </row>
    <row r="111" spans="1:55" ht="115.7" customHeight="1">
      <c r="A111" s="43" t="str">
        <f t="shared" si="0"/>
        <v>40742A-CBJnavy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06-026-16</v>
      </c>
      <c r="C111" s="44" t="s">
        <v>2150</v>
      </c>
      <c r="D111" s="43" t="str">
        <f>IF(A111&lt;&gt;"",_xlfn.XLOOKUP(C111,'1C'!S:S,'1C'!T:T,"",0),"")</f>
        <v>Columbus Blue Jackets Blue Line NHL</v>
      </c>
      <c r="E111" s="43" t="str">
        <f>IF(F111&lt;&gt;"",IFERROR(VLOOKUP(F111,Категории!A:B,2,0),""),"Требуется категория")</f>
        <v>Бейсболки</v>
      </c>
      <c r="F111" s="43" t="str">
        <f>IF(A111&lt;&gt;"",IF(BA111&gt;0,_xlfn.XLOOKUP(A111,'1C'!A:A,'1C'!J:J,"",0),_xlfn.XLOOKUP(C111,'1C'!S:S,'1C'!J:J,"",0)),"")</f>
        <v>Бейсболка</v>
      </c>
      <c r="G111" s="56" t="str">
        <f>IF(C111&lt;&gt;"",IF(BA111&gt;0,_xlfn.XLOOKUP(A111,'1C'!A:A,'1C'!L:L,"",0),_xlfn.XLOOKUP(C111,'1C'!S:S,'1C'!L:L,"",0)),"")</f>
        <v>Sport</v>
      </c>
      <c r="H111" s="43" t="str">
        <f>IF(A111&lt;&gt;"",_xlfn.XLOOKUP(A111,'1C'!A:A,'1C'!M:M,_xlfn.XLOOKUP(C111,'1C'!S:S,'1C'!M:M,"",0),0))</f>
        <v>всесезон</v>
      </c>
      <c r="J111" s="43" t="str">
        <f>'1C'!$AF$1</f>
        <v>American Needle</v>
      </c>
      <c r="K111" s="104" t="s">
        <v>818</v>
      </c>
      <c r="L111" s="56" t="str">
        <f>IF(K111&lt;&gt;"",IFERROR(VLOOKUP(A111,'1C'!A:T,8,0),IFERROR(VLOOKUP(K111,Colors!D:E,2,0),"")),"")</f>
        <v>темно-синий</v>
      </c>
      <c r="M111" s="145" t="str">
        <f>IF(K111&lt;&gt;"",IFERROR(VLOOKUP(A111,'1C'!A:T,18,0),IFERROR(VLOOKUP(K111,Colors!D:E,2,0),"")),"")</f>
        <v>синий</v>
      </c>
      <c r="N111" s="56" t="str">
        <f>IF(A111&lt;&gt;"",_xlfn.XLOOKUP(A111,'1C'!A:A,'1C'!I:I,_xlfn.XLOOKUP(C111,'1C'!S:S,'1C'!I:I,"",0),0),"")</f>
        <v>100% хлопок</v>
      </c>
      <c r="O111" s="65"/>
      <c r="P111" s="56" t="str">
        <f>IF(A111&lt;&gt;"",_xlfn.XLOOKUP(A111,'1C'!A:A,'1C'!N:N,_xlfn.XLOOKUP(C111,'1C'!S:S,'1C'!N:N,"",0),0),"")</f>
        <v>хлопковые</v>
      </c>
      <c r="Q111" s="59" t="str">
        <f>IF(P111&lt;&gt;"",IFERROR(VLOOKUP(P111,MaterialsTypes!F:G,2,0),IFERROR(VLOOKUP(N111,MaterialsTypes100,2,0),"")),IFERROR(VLOOKUP(N111,MaterialsTypes100,2,0),""))</f>
        <v>Текстиль, ткань</v>
      </c>
      <c r="R111" s="59" t="str">
        <f>IF(A111&lt;&gt;"",_xlfn.XLOOKUP(A111,'1C'!A:A,'1C'!K:K,_xlfn.XLOOKUP(C111,'1C'!S:S,'1C'!K:K,"",0),0),"")</f>
        <v>Унисекс</v>
      </c>
      <c r="S111" s="44">
        <v>8</v>
      </c>
      <c r="AQ111" s="59">
        <f t="shared" si="1"/>
        <v>8</v>
      </c>
      <c r="AR111" s="43" t="str">
        <f>IF(A111&lt;&gt;"",_xlfn.XLOOKUP(_xlfn.XLOOKUP(A111,'1C'!A:A,'1C'!O:O,_xlfn.XLOOKUP(C111,'1C'!S:S,'1C'!O:O,"",0),0),Settings!N:N,Settings!O:O,"",0),"")</f>
        <v>BD</v>
      </c>
      <c r="AS111" s="56" t="str">
        <f ca="1">IF(BA111&gt;0,_xlfn.XLOOKUP(A111,'1C'!$A:$A,'1C'!P:P,"",0,),IF(AR111&lt;&gt;"",VLOOKUP(AR111,INDIRECT(SUBSTITUTE($J111," ","")&amp;"Manufactures"),3,0),"Требуется код страны"))</f>
        <v>American Needle, Inc; 1275 Busch Parkway, Buffalo Grove, IL 60089, USA</v>
      </c>
      <c r="AT111" s="56" t="str">
        <f ca="1">IF(BA111&gt;0,_xlfn.XLOOKUP(A111,'1C'!$A:$A,'1C'!O:O,"",0),IF(AR111&lt;&gt;"",VLOOKUP(AR111,INDIRECT(SUBSTITUTE($J111," ","")&amp;"Manufactures"),2,0),"Требуется код страны"))</f>
        <v>Бангладеш</v>
      </c>
      <c r="AU111" s="76">
        <f t="shared" si="2"/>
        <v>0.1</v>
      </c>
      <c r="AV111" s="43">
        <f t="shared" si="3"/>
        <v>0.15000000000000002</v>
      </c>
      <c r="AW111" s="43">
        <f t="shared" si="4"/>
        <v>0.8</v>
      </c>
      <c r="AX111" s="43">
        <f t="shared" si="5"/>
        <v>1.2000000000000002</v>
      </c>
      <c r="AY111" s="155">
        <v>7.8624999999999998</v>
      </c>
      <c r="AZ111" s="156">
        <f t="shared" si="6"/>
        <v>62.9</v>
      </c>
      <c r="BA111" s="45">
        <f>IF(A111&lt;&gt;"",IF(_xlfn.XLOOKUP(A111,'1C'!A:A,'1C'!A:A,0,0)&gt;0,1,0),"")</f>
        <v>1</v>
      </c>
      <c r="BB111" s="150">
        <f>IF(C111&lt;&gt;"",IF(_xlfn.XLOOKUP(C111,'1C'!S:S,'1C'!S:S,0,0)&gt;0,0,1),"")</f>
        <v>0</v>
      </c>
      <c r="BC111" s="45">
        <f t="shared" si="7"/>
        <v>0</v>
      </c>
    </row>
    <row r="112" spans="1:55" ht="119.65" customHeight="1">
      <c r="A112" s="43" t="str">
        <f t="shared" si="0"/>
        <v>40742A-HAWkelly green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06-419-11</v>
      </c>
      <c r="C112" s="44" t="s">
        <v>2151</v>
      </c>
      <c r="D112" s="43" t="str">
        <f>VLOOKUP(C112,Names!A:B,2,0)</f>
        <v>HAR WHALERS Blue Line</v>
      </c>
      <c r="E112" s="43" t="str">
        <f>IF(F112&lt;&gt;"",IFERROR(VLOOKUP(F112,Категории!A:B,2,0),""),"Требуется категория")</f>
        <v>Бейсболки</v>
      </c>
      <c r="F112" s="44" t="s">
        <v>327</v>
      </c>
      <c r="G112" s="63" t="s">
        <v>884</v>
      </c>
      <c r="H112" s="44" t="s">
        <v>388</v>
      </c>
      <c r="J112" s="43" t="str">
        <f>'1C'!$AF$1</f>
        <v>American Needle</v>
      </c>
      <c r="K112" s="104" t="s">
        <v>2271</v>
      </c>
      <c r="L112" s="58" t="s">
        <v>60</v>
      </c>
      <c r="M112" s="66"/>
      <c r="N112" s="141" t="str">
        <f>Order!B110</f>
        <v>100% Хлопок</v>
      </c>
      <c r="O112" s="65"/>
      <c r="P112" s="44" t="s">
        <v>43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58" t="s">
        <v>382</v>
      </c>
      <c r="S112" s="44">
        <v>6</v>
      </c>
      <c r="AQ112" s="59">
        <f t="shared" si="1"/>
        <v>6</v>
      </c>
      <c r="AR112" s="66" t="str">
        <f>Order!A110</f>
        <v>BD</v>
      </c>
      <c r="AS112" s="56" t="str">
        <f ca="1">IF(BA112&gt;0,_xlfn.XLOOKUP(A112,'1C'!$A:$A,'1C'!P:P,"",0,),IF(AR112&lt;&gt;"",VLOOKUP(AR112,INDIRECT(SUBSTITUTE($J112," ","")&amp;"Manufactures"),3,0),"Требуется код страны"))</f>
        <v>American Needle, Inc; 1275 Busch Parkway, Buffalo Grove, IL 60089, USA</v>
      </c>
      <c r="AT112" s="56" t="str">
        <f ca="1">IF(BA112&gt;0,_xlfn.XLOOKUP(A112,'1C'!$A:$A,'1C'!O:O,"",0),IF(AR112&lt;&gt;"",VLOOKUP(AR112,INDIRECT(SUBSTITUTE($J112," ","")&amp;"Manufactures"),2,0),"Требуется код страны"))</f>
        <v>Бангладеш</v>
      </c>
      <c r="AU112" s="76">
        <f t="shared" si="2"/>
        <v>0.1</v>
      </c>
      <c r="AV112" s="43">
        <f t="shared" si="3"/>
        <v>0.15000000000000002</v>
      </c>
      <c r="AW112" s="43">
        <f t="shared" si="4"/>
        <v>0.60000000000000009</v>
      </c>
      <c r="AX112" s="43">
        <f t="shared" si="5"/>
        <v>0.90000000000000013</v>
      </c>
      <c r="AY112" s="155">
        <v>7.8633333333333333</v>
      </c>
      <c r="AZ112" s="156">
        <f t="shared" si="6"/>
        <v>47.18</v>
      </c>
      <c r="BA112" s="45">
        <f>IF(A112&lt;&gt;"",IF(_xlfn.XLOOKUP(A112,'1C'!A:A,'1C'!A:A,0,0)&gt;0,1,0),"")</f>
        <v>0</v>
      </c>
      <c r="BB112" s="150">
        <f>IF(C112&lt;&gt;"",IF(_xlfn.XLOOKUP(C112,'1C'!S:S,'1C'!S:S,0,0)&gt;0,0,1),"")</f>
        <v>0</v>
      </c>
      <c r="BC112" s="45">
        <f t="shared" si="7"/>
        <v>1</v>
      </c>
    </row>
    <row r="113" spans="1:55" ht="119.65" customHeight="1">
      <c r="A113" s="43" t="str">
        <f t="shared" si="0"/>
        <v>40742A-MNWforest green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06-420-07</v>
      </c>
      <c r="C113" s="44" t="s">
        <v>2152</v>
      </c>
      <c r="D113" s="43" t="str">
        <f>VLOOKUP(C113,Names!A:B,2,0)</f>
        <v>MN WILD Blue Line</v>
      </c>
      <c r="E113" s="43" t="str">
        <f>IF(F113&lt;&gt;"",IFERROR(VLOOKUP(F113,Категории!A:B,2,0),""),"Требуется категория")</f>
        <v>Бейсболки</v>
      </c>
      <c r="F113" s="44" t="s">
        <v>327</v>
      </c>
      <c r="G113" s="63" t="s">
        <v>884</v>
      </c>
      <c r="H113" s="44" t="s">
        <v>388</v>
      </c>
      <c r="J113" s="43" t="str">
        <f>'1C'!$AF$1</f>
        <v>American Needle</v>
      </c>
      <c r="K113" s="104" t="s">
        <v>2286</v>
      </c>
      <c r="L113" s="58" t="s">
        <v>269</v>
      </c>
      <c r="M113" s="66"/>
      <c r="N113" s="141" t="str">
        <f>Order!B111</f>
        <v>100% Хлопок</v>
      </c>
      <c r="O113" s="65"/>
      <c r="P113" s="44" t="s">
        <v>43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58" t="s">
        <v>382</v>
      </c>
      <c r="S113" s="44">
        <v>23</v>
      </c>
      <c r="AQ113" s="59">
        <f t="shared" si="1"/>
        <v>23</v>
      </c>
      <c r="AR113" s="66" t="str">
        <f>Order!A111</f>
        <v>BD</v>
      </c>
      <c r="AS113" s="56" t="str">
        <f ca="1">IF(BA113&gt;0,_xlfn.XLOOKUP(A113,'1C'!$A:$A,'1C'!P:P,"",0,),IF(AR113&lt;&gt;"",VLOOKUP(AR113,INDIRECT(SUBSTITUTE($J113," ","")&amp;"Manufactures"),3,0),"Требуется код страны"))</f>
        <v>American Needle, Inc; 1275 Busch Parkway, Buffalo Grove, IL 60089, USA</v>
      </c>
      <c r="AT113" s="56" t="str">
        <f ca="1">IF(BA113&gt;0,_xlfn.XLOOKUP(A113,'1C'!$A:$A,'1C'!O:O,"",0),IF(AR113&lt;&gt;"",VLOOKUP(AR113,INDIRECT(SUBSTITUTE($J113," ","")&amp;"Manufactures"),2,0),"Требуется код страны"))</f>
        <v>Бангладеш</v>
      </c>
      <c r="AU113" s="76">
        <f t="shared" si="2"/>
        <v>0.1</v>
      </c>
      <c r="AV113" s="43">
        <f t="shared" si="3"/>
        <v>0.15000000000000002</v>
      </c>
      <c r="AW113" s="43">
        <f t="shared" si="4"/>
        <v>2.3000000000000003</v>
      </c>
      <c r="AX113" s="43">
        <f t="shared" si="5"/>
        <v>3.4500000000000006</v>
      </c>
      <c r="AY113" s="155">
        <v>7.8626086956521739</v>
      </c>
      <c r="AZ113" s="156">
        <f t="shared" si="6"/>
        <v>180.84</v>
      </c>
      <c r="BA113" s="45">
        <f>IF(A113&lt;&gt;"",IF(_xlfn.XLOOKUP(A113,'1C'!A:A,'1C'!A:A,0,0)&gt;0,1,0),"")</f>
        <v>0</v>
      </c>
      <c r="BB113" s="150">
        <f>IF(C113&lt;&gt;"",IF(_xlfn.XLOOKUP(C113,'1C'!S:S,'1C'!S:S,0,0)&gt;0,0,1),"")</f>
        <v>0</v>
      </c>
      <c r="BC113" s="45">
        <f t="shared" si="7"/>
        <v>1</v>
      </c>
    </row>
    <row r="114" spans="1:55" ht="115.7" customHeight="1">
      <c r="A114" s="43" t="str">
        <f t="shared" si="0"/>
        <v>40742A-NAPnavy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06-030-16</v>
      </c>
      <c r="C114" s="44" t="s">
        <v>2153</v>
      </c>
      <c r="D114" s="43" t="str">
        <f>IF(A114&lt;&gt;"",_xlfn.XLOOKUP(C114,'1C'!S:S,'1C'!T:T,"",0),"")</f>
        <v>Nashville Predators Blue Line NHL</v>
      </c>
      <c r="E114" s="43" t="str">
        <f>IF(F114&lt;&gt;"",IFERROR(VLOOKUP(F114,Категории!A:B,2,0),""),"Требуется категория")</f>
        <v>Бейсболки</v>
      </c>
      <c r="F114" s="43" t="str">
        <f>IF(A114&lt;&gt;"",IF(BA114&gt;0,_xlfn.XLOOKUP(A114,'1C'!A:A,'1C'!J:J,"",0),_xlfn.XLOOKUP(C114,'1C'!S:S,'1C'!J:J,"",0)),"")</f>
        <v>Бейсболка</v>
      </c>
      <c r="G114" s="56" t="str">
        <f>IF(C114&lt;&gt;"",IF(BA114&gt;0,_xlfn.XLOOKUP(A114,'1C'!A:A,'1C'!L:L,"",0),_xlfn.XLOOKUP(C114,'1C'!S:S,'1C'!L:L,"",0)),"")</f>
        <v>Sport</v>
      </c>
      <c r="H114" s="43" t="str">
        <f>IF(A114&lt;&gt;"",_xlfn.XLOOKUP(A114,'1C'!A:A,'1C'!M:M,_xlfn.XLOOKUP(C114,'1C'!S:S,'1C'!M:M,"",0),0))</f>
        <v>всесезон</v>
      </c>
      <c r="J114" s="43" t="str">
        <f>'1C'!$AF$1</f>
        <v>American Needle</v>
      </c>
      <c r="K114" s="104" t="s">
        <v>818</v>
      </c>
      <c r="L114" s="56" t="str">
        <f>IF(K114&lt;&gt;"",IFERROR(VLOOKUP(A114,'1C'!A:T,8,0),IFERROR(VLOOKUP(K114,Colors!D:E,2,0),"")),"")</f>
        <v>темно-синий</v>
      </c>
      <c r="M114" s="145" t="str">
        <f>IF(K114&lt;&gt;"",IFERROR(VLOOKUP(A114,'1C'!A:T,18,0),IFERROR(VLOOKUP(K114,Colors!D:E,2,0),"")),"")</f>
        <v>синий</v>
      </c>
      <c r="N114" s="56" t="str">
        <f>IF(A114&lt;&gt;"",_xlfn.XLOOKUP(A114,'1C'!A:A,'1C'!I:I,_xlfn.XLOOKUP(C114,'1C'!S:S,'1C'!I:I,"",0),0),"")</f>
        <v>100% хлопок</v>
      </c>
      <c r="O114" s="65"/>
      <c r="P114" s="56" t="str">
        <f>IF(A114&lt;&gt;"",_xlfn.XLOOKUP(A114,'1C'!A:A,'1C'!N:N,_xlfn.XLOOKUP(C114,'1C'!S:S,'1C'!N:N,"",0),0),"")</f>
        <v>хлопковые</v>
      </c>
      <c r="Q114" s="59" t="str">
        <f>IF(P114&lt;&gt;"",IFERROR(VLOOKUP(P114,MaterialsTypes!F:G,2,0),IFERROR(VLOOKUP(N114,MaterialsTypes100,2,0),"")),IFERROR(VLOOKUP(N114,MaterialsTypes100,2,0),""))</f>
        <v>Текстиль, ткань</v>
      </c>
      <c r="R114" s="59" t="str">
        <f>IF(A114&lt;&gt;"",_xlfn.XLOOKUP(A114,'1C'!A:A,'1C'!K:K,_xlfn.XLOOKUP(C114,'1C'!S:S,'1C'!K:K,"",0),0),"")</f>
        <v>Унисекс</v>
      </c>
      <c r="S114" s="44">
        <v>17</v>
      </c>
      <c r="AQ114" s="59">
        <f t="shared" si="1"/>
        <v>17</v>
      </c>
      <c r="AR114" s="43" t="str">
        <f>IF(A114&lt;&gt;"",_xlfn.XLOOKUP(_xlfn.XLOOKUP(A114,'1C'!A:A,'1C'!O:O,_xlfn.XLOOKUP(C114,'1C'!S:S,'1C'!O:O,"",0),0),Settings!N:N,Settings!O:O,"",0),"")</f>
        <v>BD</v>
      </c>
      <c r="AS114" s="56" t="str">
        <f ca="1">IF(BA114&gt;0,_xlfn.XLOOKUP(A114,'1C'!$A:$A,'1C'!P:P,"",0,),IF(AR114&lt;&gt;"",VLOOKUP(AR114,INDIRECT(SUBSTITUTE($J114," ","")&amp;"Manufactures"),3,0),"Требуется код страны"))</f>
        <v>American Needle, Inc; 1275 Busch Parkway, Buffalo Grove, IL 60089, USA</v>
      </c>
      <c r="AT114" s="56" t="str">
        <f ca="1">IF(BA114&gt;0,_xlfn.XLOOKUP(A114,'1C'!$A:$A,'1C'!O:O,"",0),IF(AR114&lt;&gt;"",VLOOKUP(AR114,INDIRECT(SUBSTITUTE($J114," ","")&amp;"Manufactures"),2,0),"Требуется код страны"))</f>
        <v>Бангладеш</v>
      </c>
      <c r="AU114" s="76">
        <f t="shared" si="2"/>
        <v>0.1</v>
      </c>
      <c r="AV114" s="43">
        <f t="shared" si="3"/>
        <v>0.15000000000000002</v>
      </c>
      <c r="AW114" s="43">
        <f t="shared" si="4"/>
        <v>1.7000000000000002</v>
      </c>
      <c r="AX114" s="43">
        <f t="shared" si="5"/>
        <v>2.5500000000000003</v>
      </c>
      <c r="AY114" s="155">
        <v>7.8623529411764705</v>
      </c>
      <c r="AZ114" s="156">
        <f t="shared" si="6"/>
        <v>133.66</v>
      </c>
      <c r="BA114" s="45">
        <f>IF(A114&lt;&gt;"",IF(_xlfn.XLOOKUP(A114,'1C'!A:A,'1C'!A:A,0,0)&gt;0,1,0),"")</f>
        <v>1</v>
      </c>
      <c r="BB114" s="150">
        <f>IF(C114&lt;&gt;"",IF(_xlfn.XLOOKUP(C114,'1C'!S:S,'1C'!S:S,0,0)&gt;0,0,1),"")</f>
        <v>0</v>
      </c>
      <c r="BC114" s="45">
        <f t="shared" si="7"/>
        <v>0</v>
      </c>
    </row>
    <row r="115" spans="1:55" ht="121.7" customHeight="1">
      <c r="A115" s="43" t="str">
        <f t="shared" si="0"/>
        <v>40742A-SEKnavy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06-033-16</v>
      </c>
      <c r="C115" s="44" t="s">
        <v>2154</v>
      </c>
      <c r="D115" s="43" t="str">
        <f>IF(A115&lt;&gt;"",_xlfn.XLOOKUP(C115,'1C'!S:S,'1C'!T:T,"",0),"")</f>
        <v>Seattle Kraken Blue Line NHL</v>
      </c>
      <c r="E115" s="43" t="str">
        <f>IF(F115&lt;&gt;"",IFERROR(VLOOKUP(F115,Категории!A:B,2,0),""),"Требуется категория")</f>
        <v>Бейсболки</v>
      </c>
      <c r="F115" s="43" t="str">
        <f>IF(A115&lt;&gt;"",IF(BA115&gt;0,_xlfn.XLOOKUP(A115,'1C'!A:A,'1C'!J:J,"",0),_xlfn.XLOOKUP(C115,'1C'!S:S,'1C'!J:J,"",0)),"")</f>
        <v>Бейсболка</v>
      </c>
      <c r="G115" s="56" t="str">
        <f>IF(C115&lt;&gt;"",IF(BA115&gt;0,_xlfn.XLOOKUP(A115,'1C'!A:A,'1C'!L:L,"",0),_xlfn.XLOOKUP(C115,'1C'!S:S,'1C'!L:L,"",0)),"")</f>
        <v>Sport</v>
      </c>
      <c r="H115" s="43" t="str">
        <f>IF(A115&lt;&gt;"",_xlfn.XLOOKUP(A115,'1C'!A:A,'1C'!M:M,_xlfn.XLOOKUP(C115,'1C'!S:S,'1C'!M:M,"",0),0))</f>
        <v>всесезон</v>
      </c>
      <c r="J115" s="43" t="str">
        <f>'1C'!$AF$1</f>
        <v>American Needle</v>
      </c>
      <c r="K115" s="104" t="s">
        <v>818</v>
      </c>
      <c r="L115" s="56" t="str">
        <f>IF(K115&lt;&gt;"",IFERROR(VLOOKUP(A115,'1C'!A:T,8,0),IFERROR(VLOOKUP(K115,Colors!D:E,2,0),"")),"")</f>
        <v>темно-синий</v>
      </c>
      <c r="M115" s="145" t="str">
        <f>IF(K115&lt;&gt;"",IFERROR(VLOOKUP(A115,'1C'!A:T,18,0),IFERROR(VLOOKUP(K115,Colors!D:E,2,0),"")),"")</f>
        <v>синий</v>
      </c>
      <c r="N115" s="56" t="str">
        <f>IF(A115&lt;&gt;"",_xlfn.XLOOKUP(A115,'1C'!A:A,'1C'!I:I,_xlfn.XLOOKUP(C115,'1C'!S:S,'1C'!I:I,"",0),0),"")</f>
        <v>100% хлопок</v>
      </c>
      <c r="O115" s="65"/>
      <c r="P115" s="56" t="str">
        <f>IF(A115&lt;&gt;"",_xlfn.XLOOKUP(A115,'1C'!A:A,'1C'!N:N,_xlfn.XLOOKUP(C115,'1C'!S:S,'1C'!N:N,"",0),0),"")</f>
        <v>хлопковые</v>
      </c>
      <c r="Q115" s="59" t="str">
        <f>IF(P115&lt;&gt;"",IFERROR(VLOOKUP(P115,MaterialsTypes!F:G,2,0),IFERROR(VLOOKUP(N115,MaterialsTypes100,2,0),"")),IFERROR(VLOOKUP(N115,MaterialsTypes100,2,0),""))</f>
        <v>Текстиль, ткань</v>
      </c>
      <c r="R115" s="59" t="str">
        <f>IF(A115&lt;&gt;"",_xlfn.XLOOKUP(A115,'1C'!A:A,'1C'!K:K,_xlfn.XLOOKUP(C115,'1C'!S:S,'1C'!K:K,"",0),0),"")</f>
        <v>Унисекс</v>
      </c>
      <c r="S115" s="44">
        <v>39</v>
      </c>
      <c r="AQ115" s="59">
        <f t="shared" si="1"/>
        <v>39</v>
      </c>
      <c r="AR115" s="43" t="str">
        <f>IF(A115&lt;&gt;"",_xlfn.XLOOKUP(_xlfn.XLOOKUP(A115,'1C'!A:A,'1C'!O:O,_xlfn.XLOOKUP(C115,'1C'!S:S,'1C'!O:O,"",0),0),Settings!N:N,Settings!O:O,"",0),"")</f>
        <v>BD</v>
      </c>
      <c r="AS115" s="56" t="str">
        <f ca="1">IF(BA115&gt;0,_xlfn.XLOOKUP(A115,'1C'!$A:$A,'1C'!P:P,"",0,),IF(AR115&lt;&gt;"",VLOOKUP(AR115,INDIRECT(SUBSTITUTE($J115," ","")&amp;"Manufactures"),3,0),"Требуется код страны"))</f>
        <v>American Needle, Inc; 1275 Busch Parkway, Buffalo Grove, IL 60089, USA</v>
      </c>
      <c r="AT115" s="56" t="str">
        <f ca="1">IF(BA115&gt;0,_xlfn.XLOOKUP(A115,'1C'!$A:$A,'1C'!O:O,"",0),IF(AR115&lt;&gt;"",VLOOKUP(AR115,INDIRECT(SUBSTITUTE($J115," ","")&amp;"Manufactures"),2,0),"Требуется код страны"))</f>
        <v>Бангладеш</v>
      </c>
      <c r="AU115" s="76">
        <f t="shared" si="2"/>
        <v>0.1</v>
      </c>
      <c r="AV115" s="43">
        <f t="shared" si="3"/>
        <v>0.15000000000000002</v>
      </c>
      <c r="AW115" s="43">
        <f t="shared" si="4"/>
        <v>3.9000000000000004</v>
      </c>
      <c r="AX115" s="43">
        <f t="shared" si="5"/>
        <v>5.8500000000000005</v>
      </c>
      <c r="AY115" s="155">
        <v>7.86</v>
      </c>
      <c r="AZ115" s="156">
        <f t="shared" si="6"/>
        <v>306.54000000000002</v>
      </c>
      <c r="BA115" s="45">
        <f>IF(A115&lt;&gt;"",IF(_xlfn.XLOOKUP(A115,'1C'!A:A,'1C'!A:A,0,0)&gt;0,1,0),"")</f>
        <v>1</v>
      </c>
      <c r="BB115" s="150">
        <f>IF(C115&lt;&gt;"",IF(_xlfn.XLOOKUP(C115,'1C'!S:S,'1C'!S:S,0,0)&gt;0,0,1),"")</f>
        <v>0</v>
      </c>
      <c r="BC115" s="45">
        <f t="shared" si="7"/>
        <v>0</v>
      </c>
    </row>
    <row r="116" spans="1:55" ht="119.65" customHeight="1">
      <c r="A116" s="43" t="str">
        <f t="shared" si="0"/>
        <v>40742A-SEKseafoam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06-033-19</v>
      </c>
      <c r="C116" s="44" t="s">
        <v>2154</v>
      </c>
      <c r="D116" s="43" t="str">
        <f>IF(A116&lt;&gt;"",_xlfn.XLOOKUP(C116,'1C'!S:S,'1C'!T:T,"",0),"")</f>
        <v>Seattle Kraken Blue Line NHL</v>
      </c>
      <c r="E116" s="43" t="str">
        <f>IF(F116&lt;&gt;"",IFERROR(VLOOKUP(F116,Категории!A:B,2,0),""),"Требуется категория")</f>
        <v>Бейсболки</v>
      </c>
      <c r="F116" s="43" t="str">
        <f>IF(A116&lt;&gt;"",IF(BA116&gt;0,_xlfn.XLOOKUP(A116,'1C'!A:A,'1C'!J:J,"",0),_xlfn.XLOOKUP(C116,'1C'!S:S,'1C'!J:J,"",0)),"")</f>
        <v>Бейсболка</v>
      </c>
      <c r="G116" s="56" t="str">
        <f>IF(C116&lt;&gt;"",IF(BA116&gt;0,_xlfn.XLOOKUP(A116,'1C'!A:A,'1C'!L:L,"",0),_xlfn.XLOOKUP(C116,'1C'!S:S,'1C'!L:L,"",0)),"")</f>
        <v>Sport</v>
      </c>
      <c r="H116" s="43" t="str">
        <f>IF(A116&lt;&gt;"",_xlfn.XLOOKUP(A116,'1C'!A:A,'1C'!M:M,_xlfn.XLOOKUP(C116,'1C'!S:S,'1C'!M:M,"",0),0))</f>
        <v>всесезон</v>
      </c>
      <c r="J116" s="43" t="str">
        <f>'1C'!$AF$1</f>
        <v>American Needle</v>
      </c>
      <c r="K116" s="104" t="s">
        <v>1372</v>
      </c>
      <c r="L116" s="63" t="s">
        <v>91</v>
      </c>
      <c r="M116" s="66"/>
      <c r="N116" s="56" t="str">
        <f>IF(A116&lt;&gt;"",_xlfn.XLOOKUP(A116,'1C'!A:A,'1C'!I:I,_xlfn.XLOOKUP(C116,'1C'!S:S,'1C'!I:I,"",0),0),"")</f>
        <v>100% хлопок</v>
      </c>
      <c r="O116" s="65"/>
      <c r="P116" s="56" t="str">
        <f>IF(A116&lt;&gt;"",_xlfn.XLOOKUP(A116,'1C'!A:A,'1C'!N:N,_xlfn.XLOOKUP(C116,'1C'!S:S,'1C'!N:N,"",0),0),"")</f>
        <v>хлопковые</v>
      </c>
      <c r="Q116" s="59" t="str">
        <f>IF(P116&lt;&gt;"",IFERROR(VLOOKUP(P116,MaterialsTypes!F:G,2,0),IFERROR(VLOOKUP(N116,MaterialsTypes100,2,0),"")),IFERROR(VLOOKUP(N116,MaterialsTypes100,2,0),""))</f>
        <v>Текстиль, ткань</v>
      </c>
      <c r="R116" s="59" t="str">
        <f>IF(A116&lt;&gt;"",_xlfn.XLOOKUP(A116,'1C'!A:A,'1C'!K:K,_xlfn.XLOOKUP(C116,'1C'!S:S,'1C'!K:K,"",0),0),"")</f>
        <v>Унисекс</v>
      </c>
      <c r="S116" s="44">
        <v>6</v>
      </c>
      <c r="AQ116" s="59">
        <f t="shared" si="1"/>
        <v>6</v>
      </c>
      <c r="AR116" s="43" t="str">
        <f>IF(A116&lt;&gt;"",_xlfn.XLOOKUP(_xlfn.XLOOKUP(A116,'1C'!A:A,'1C'!O:O,_xlfn.XLOOKUP(C116,'1C'!S:S,'1C'!O:O,"",0),0),Settings!N:N,Settings!O:O,"",0),"")</f>
        <v>BD</v>
      </c>
      <c r="AS116" s="56" t="str">
        <f ca="1">IF(BA116&gt;0,_xlfn.XLOOKUP(A116,'1C'!$A:$A,'1C'!P:P,"",0,),IF(AR116&lt;&gt;"",VLOOKUP(AR116,INDIRECT(SUBSTITUTE($J116," ","")&amp;"Manufactures"),3,0),"Требуется код страны"))</f>
        <v>American Needle, Inc; 1275 Busch Parkway, Buffalo Grove, IL 60089, USA</v>
      </c>
      <c r="AT116" s="56" t="str">
        <f ca="1">IF(BA116&gt;0,_xlfn.XLOOKUP(A116,'1C'!$A:$A,'1C'!O:O,"",0),IF(AR116&lt;&gt;"",VLOOKUP(AR116,INDIRECT(SUBSTITUTE($J116," ","")&amp;"Manufactures"),2,0),"Требуется код страны"))</f>
        <v>Бангладеш</v>
      </c>
      <c r="AU116" s="76">
        <f t="shared" si="2"/>
        <v>0.1</v>
      </c>
      <c r="AV116" s="43">
        <f t="shared" si="3"/>
        <v>0.15000000000000002</v>
      </c>
      <c r="AW116" s="43">
        <f t="shared" si="4"/>
        <v>0.60000000000000009</v>
      </c>
      <c r="AX116" s="43">
        <f t="shared" si="5"/>
        <v>0.90000000000000013</v>
      </c>
      <c r="AY116" s="155">
        <v>7.86</v>
      </c>
      <c r="AZ116" s="156">
        <f t="shared" si="6"/>
        <v>47.160000000000004</v>
      </c>
      <c r="BA116" s="45">
        <f>IF(A116&lt;&gt;"",IF(_xlfn.XLOOKUP(A116,'1C'!A:A,'1C'!A:A,0,0)&gt;0,1,0),"")</f>
        <v>0</v>
      </c>
      <c r="BB116" s="150">
        <f>IF(C116&lt;&gt;"",IF(_xlfn.XLOOKUP(C116,'1C'!S:S,'1C'!S:S,0,0)&gt;0,0,1),"")</f>
        <v>0</v>
      </c>
      <c r="BC116" s="45">
        <f t="shared" si="7"/>
        <v>1</v>
      </c>
    </row>
    <row r="117" spans="1:55" ht="119.65" customHeight="1">
      <c r="A117" s="43" t="str">
        <f t="shared" si="0"/>
        <v>40742A-WACred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06-037-18</v>
      </c>
      <c r="C117" s="44" t="s">
        <v>2155</v>
      </c>
      <c r="D117" s="43" t="str">
        <f>IF(A117&lt;&gt;"",_xlfn.XLOOKUP(C117,'1C'!S:S,'1C'!T:T,"",0),"")</f>
        <v>Washington Capitals Blue Line NHL</v>
      </c>
      <c r="E117" s="43" t="str">
        <f>IF(F117&lt;&gt;"",IFERROR(VLOOKUP(F117,Категории!A:B,2,0),""),"Требуется категория")</f>
        <v>Бейсболки</v>
      </c>
      <c r="F117" s="43" t="str">
        <f>IF(A117&lt;&gt;"",IF(BA117&gt;0,_xlfn.XLOOKUP(A117,'1C'!A:A,'1C'!J:J,"",0),_xlfn.XLOOKUP(C117,'1C'!S:S,'1C'!J:J,"",0)),"")</f>
        <v>Бейсболка</v>
      </c>
      <c r="G117" s="56" t="str">
        <f>IF(C117&lt;&gt;"",IF(BA117&gt;0,_xlfn.XLOOKUP(A117,'1C'!A:A,'1C'!L:L,"",0),_xlfn.XLOOKUP(C117,'1C'!S:S,'1C'!L:L,"",0)),"")</f>
        <v>Sport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American Needle</v>
      </c>
      <c r="K117" s="104" t="s">
        <v>822</v>
      </c>
      <c r="L117" s="56" t="str">
        <f>IF(K117&lt;&gt;"",IFERROR(VLOOKUP(A117,'1C'!A:T,8,0),IFERROR(VLOOKUP(K117,Colors!D:E,2,0),"")),"")</f>
        <v>красный</v>
      </c>
      <c r="M117" s="145" t="str">
        <f>IF(K117&lt;&gt;"",IFERROR(VLOOKUP(A117,'1C'!A:T,18,0),IFERROR(VLOOKUP(K117,Colors!D:E,2,0),"")),"")</f>
        <v>красный</v>
      </c>
      <c r="N117" s="56" t="str">
        <f>IF(A117&lt;&gt;"",_xlfn.XLOOKUP(A117,'1C'!A:A,'1C'!I:I,_xlfn.XLOOKUP(C117,'1C'!S:S,'1C'!I:I,"",0),0),"")</f>
        <v>100% хлопок</v>
      </c>
      <c r="O117" s="65"/>
      <c r="P117" s="56" t="str">
        <f>IF(A117&lt;&gt;"",_xlfn.XLOOKUP(A117,'1C'!A:A,'1C'!N:N,_xlfn.XLOOKUP(C117,'1C'!S:S,'1C'!N:N,"",0),0),"")</f>
        <v>хлопковые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S117" s="44">
        <v>30</v>
      </c>
      <c r="AQ117" s="59">
        <f t="shared" si="1"/>
        <v>30</v>
      </c>
      <c r="AR117" s="43" t="str">
        <f>IF(A117&lt;&gt;"",_xlfn.XLOOKUP(_xlfn.XLOOKUP(A117,'1C'!A:A,'1C'!O:O,_xlfn.XLOOKUP(C117,'1C'!S:S,'1C'!O:O,"",0),0),Settings!N:N,Settings!O:O,"",0),"")</f>
        <v>BD</v>
      </c>
      <c r="AS117" s="56" t="str">
        <f ca="1">IF(BA117&gt;0,_xlfn.XLOOKUP(A117,'1C'!$A:$A,'1C'!P:P,"",0,),IF(AR117&lt;&gt;"",VLOOKUP(AR117,INDIRECT(SUBSTITUTE($J117," ","")&amp;"Manufactures"),3,0),"Требуется код страны"))</f>
        <v>American Needle, Inc; 1275 Busch Parkway, Buffalo Grove, IL 60089, USA</v>
      </c>
      <c r="AT117" s="56" t="str">
        <f ca="1">IF(BA117&gt;0,_xlfn.XLOOKUP(A117,'1C'!$A:$A,'1C'!O:O,"",0),IF(AR117&lt;&gt;"",VLOOKUP(AR117,INDIRECT(SUBSTITUTE($J117," ","")&amp;"Manufactures"),2,0),"Требуется код страны"))</f>
        <v>Бангладеш</v>
      </c>
      <c r="AU117" s="76">
        <f t="shared" si="2"/>
        <v>0.1</v>
      </c>
      <c r="AV117" s="43">
        <f t="shared" si="3"/>
        <v>0.15000000000000002</v>
      </c>
      <c r="AW117" s="43">
        <f t="shared" si="4"/>
        <v>3</v>
      </c>
      <c r="AX117" s="43">
        <f t="shared" si="5"/>
        <v>4.5000000000000009</v>
      </c>
      <c r="AY117" s="155">
        <v>7.8626666666666667</v>
      </c>
      <c r="AZ117" s="156">
        <f t="shared" si="6"/>
        <v>235.88</v>
      </c>
      <c r="BA117" s="45">
        <f>IF(A117&lt;&gt;"",IF(_xlfn.XLOOKUP(A117,'1C'!A:A,'1C'!A:A,0,0)&gt;0,1,0),"")</f>
        <v>1</v>
      </c>
      <c r="BB117" s="150">
        <f>IF(C117&lt;&gt;"",IF(_xlfn.XLOOKUP(C117,'1C'!S:S,'1C'!S:S,0,0)&gt;0,0,1),"")</f>
        <v>0</v>
      </c>
      <c r="BC117" s="45">
        <f t="shared" si="7"/>
        <v>0</v>
      </c>
    </row>
    <row r="118" spans="1:55" ht="119.65" customHeight="1">
      <c r="A118" s="43" t="str">
        <f t="shared" si="0"/>
        <v>40742B-COAnavy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06-421-16</v>
      </c>
      <c r="C118" s="44" t="s">
        <v>2156</v>
      </c>
      <c r="D118" s="43" t="str">
        <f>VLOOKUP(C118,Names!A:B,2,0)</f>
        <v>CO AVALANCHE Blue Line NHL</v>
      </c>
      <c r="E118" s="43" t="str">
        <f>IF(F118&lt;&gt;"",IFERROR(VLOOKUP(F118,Категории!A:B,2,0),""),"Требуется категория")</f>
        <v>Бейсболки</v>
      </c>
      <c r="F118" s="44" t="s">
        <v>327</v>
      </c>
      <c r="G118" s="63" t="s">
        <v>884</v>
      </c>
      <c r="H118" s="44" t="s">
        <v>388</v>
      </c>
      <c r="J118" s="43" t="str">
        <f>'1C'!$AF$1</f>
        <v>American Needle</v>
      </c>
      <c r="K118" s="104" t="s">
        <v>818</v>
      </c>
      <c r="L118" s="59" t="str">
        <f>IF(K118&lt;&gt;"",IFERROR(VLOOKUP(A118,'1C'!A:T,8,0),IFERROR(VLOOKUP(K118,Colors!D:E,2,0),"")),"")</f>
        <v>темно-синий</v>
      </c>
      <c r="M118" s="145" t="str">
        <f>IF(K118&lt;&gt;"",IFERROR(VLOOKUP(A118,'1C'!A:T,18,0),IFERROR(VLOOKUP(K118,Colors!D:E,2,0),"")),"")</f>
        <v>темно-синий</v>
      </c>
      <c r="N118" s="141" t="str">
        <f>Order!B116</f>
        <v>100% Хлопок</v>
      </c>
      <c r="O118" s="65"/>
      <c r="Q118" s="59" t="str">
        <f>IF(P118&lt;&gt;"",IFERROR(VLOOKUP(P118,MaterialsTypes!F:G,2,0),IFERROR(VLOOKUP(N118,MaterialsTypes100,2,0),"")),IFERROR(VLOOKUP(N118,MaterialsTypes100,2,0),""))</f>
        <v>Текстиль, ткань</v>
      </c>
      <c r="R118" s="58" t="s">
        <v>382</v>
      </c>
      <c r="S118" s="44">
        <v>29</v>
      </c>
      <c r="AQ118" s="59">
        <f t="shared" si="1"/>
        <v>29</v>
      </c>
      <c r="AR118" s="66" t="str">
        <f>Order!A116</f>
        <v>BD</v>
      </c>
      <c r="AS118" s="56" t="str">
        <f ca="1">IF(BA118&gt;0,_xlfn.XLOOKUP(A118,'1C'!$A:$A,'1C'!P:P,"",0,),IF(AR118&lt;&gt;"",VLOOKUP(AR118,INDIRECT(SUBSTITUTE($J118," ","")&amp;"Manufactures"),3,0),"Требуется код страны"))</f>
        <v>American Needle, Inc; 1275 Busch Parkway, Buffalo Grove, IL 60089, USA</v>
      </c>
      <c r="AT118" s="56" t="str">
        <f ca="1">IF(BA118&gt;0,_xlfn.XLOOKUP(A118,'1C'!$A:$A,'1C'!O:O,"",0),IF(AR118&lt;&gt;"",VLOOKUP(AR118,INDIRECT(SUBSTITUTE($J118," ","")&amp;"Manufactures"),2,0),"Требуется код страны"))</f>
        <v>Бангладеш</v>
      </c>
      <c r="AU118" s="76">
        <f t="shared" si="2"/>
        <v>0.1</v>
      </c>
      <c r="AV118" s="43">
        <f t="shared" si="3"/>
        <v>0.15000000000000002</v>
      </c>
      <c r="AW118" s="43">
        <f t="shared" si="4"/>
        <v>2.9000000000000004</v>
      </c>
      <c r="AX118" s="43">
        <f t="shared" si="5"/>
        <v>4.3500000000000005</v>
      </c>
      <c r="AY118" s="155">
        <v>7.8624137931034479</v>
      </c>
      <c r="AZ118" s="156">
        <f t="shared" si="6"/>
        <v>228.01</v>
      </c>
      <c r="BA118" s="45">
        <f>IF(A118&lt;&gt;"",IF(_xlfn.XLOOKUP(A118,'1C'!A:A,'1C'!A:A,0,0)&gt;0,1,0),"")</f>
        <v>0</v>
      </c>
      <c r="BB118" s="150">
        <f>IF(C118&lt;&gt;"",IF(_xlfn.XLOOKUP(C118,'1C'!S:S,'1C'!S:S,0,0)&gt;0,0,1),"")</f>
        <v>0</v>
      </c>
      <c r="BC118" s="45">
        <f t="shared" si="7"/>
        <v>1</v>
      </c>
    </row>
    <row r="119" spans="1:55" ht="119.65" customHeight="1">
      <c r="A119" s="43" t="str">
        <f t="shared" si="0"/>
        <v>40742B-EDOnavy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06-422-16</v>
      </c>
      <c r="C119" s="44" t="s">
        <v>2157</v>
      </c>
      <c r="D119" s="43" t="str">
        <f>VLOOKUP(C119,Names!A:B,2,0)</f>
        <v>EDM OILERS Blue Line NHL</v>
      </c>
      <c r="E119" s="43" t="str">
        <f>IF(F119&lt;&gt;"",IFERROR(VLOOKUP(F119,Категории!A:B,2,0),""),"Требуется категория")</f>
        <v>Бейсболки</v>
      </c>
      <c r="F119" s="44" t="s">
        <v>327</v>
      </c>
      <c r="G119" s="63" t="s">
        <v>884</v>
      </c>
      <c r="H119" s="44" t="s">
        <v>388</v>
      </c>
      <c r="J119" s="43" t="str">
        <f>'1C'!$AF$1</f>
        <v>American Needle</v>
      </c>
      <c r="K119" s="104" t="s">
        <v>818</v>
      </c>
      <c r="L119" s="59" t="str">
        <f>IF(K119&lt;&gt;"",IFERROR(VLOOKUP(A119,'1C'!A:T,8,0),IFERROR(VLOOKUP(K119,Colors!D:E,2,0),"")),"")</f>
        <v>темно-синий</v>
      </c>
      <c r="M119" s="145" t="str">
        <f>IF(K119&lt;&gt;"",IFERROR(VLOOKUP(A119,'1C'!A:T,18,0),IFERROR(VLOOKUP(K119,Colors!D:E,2,0),"")),"")</f>
        <v>темно-синий</v>
      </c>
      <c r="N119" s="141" t="str">
        <f>Order!B117</f>
        <v>100% Хлопок</v>
      </c>
      <c r="O119" s="65"/>
      <c r="Q119" s="59" t="str">
        <f>IF(P119&lt;&gt;"",IFERROR(VLOOKUP(P119,MaterialsTypes!F:G,2,0),IFERROR(VLOOKUP(N119,MaterialsTypes100,2,0),"")),IFERROR(VLOOKUP(N119,MaterialsTypes100,2,0),""))</f>
        <v>Текстиль, ткань</v>
      </c>
      <c r="R119" s="58" t="s">
        <v>382</v>
      </c>
      <c r="S119" s="44">
        <v>6</v>
      </c>
      <c r="AQ119" s="59">
        <f t="shared" si="1"/>
        <v>6</v>
      </c>
      <c r="AR119" s="66" t="str">
        <f>Order!A117</f>
        <v>BD</v>
      </c>
      <c r="AS119" s="56" t="str">
        <f ca="1">IF(BA119&gt;0,_xlfn.XLOOKUP(A119,'1C'!$A:$A,'1C'!P:P,"",0,),IF(AR119&lt;&gt;"",VLOOKUP(AR119,INDIRECT(SUBSTITUTE($J119," ","")&amp;"Manufactures"),3,0),"Требуется код страны"))</f>
        <v>American Needle, Inc; 1275 Busch Parkway, Buffalo Grove, IL 60089, USA</v>
      </c>
      <c r="AT119" s="56" t="str">
        <f ca="1">IF(BA119&gt;0,_xlfn.XLOOKUP(A119,'1C'!$A:$A,'1C'!O:O,"",0),IF(AR119&lt;&gt;"",VLOOKUP(AR119,INDIRECT(SUBSTITUTE($J119," ","")&amp;"Manufactures"),2,0),"Требуется код страны"))</f>
        <v>Бангладеш</v>
      </c>
      <c r="AU119" s="76">
        <f t="shared" si="2"/>
        <v>0.1</v>
      </c>
      <c r="AV119" s="43">
        <f t="shared" si="3"/>
        <v>0.15000000000000002</v>
      </c>
      <c r="AW119" s="43">
        <f t="shared" si="4"/>
        <v>0.60000000000000009</v>
      </c>
      <c r="AX119" s="43">
        <f t="shared" si="5"/>
        <v>0.90000000000000013</v>
      </c>
      <c r="AY119" s="155">
        <v>7.8633333333333333</v>
      </c>
      <c r="AZ119" s="156">
        <f t="shared" si="6"/>
        <v>47.18</v>
      </c>
      <c r="BA119" s="45">
        <f>IF(A119&lt;&gt;"",IF(_xlfn.XLOOKUP(A119,'1C'!A:A,'1C'!A:A,0,0)&gt;0,1,0),"")</f>
        <v>0</v>
      </c>
      <c r="BB119" s="150">
        <f>IF(C119&lt;&gt;"",IF(_xlfn.XLOOKUP(C119,'1C'!S:S,'1C'!S:S,0,0)&gt;0,0,1),"")</f>
        <v>0</v>
      </c>
      <c r="BC119" s="45">
        <f t="shared" si="7"/>
        <v>1</v>
      </c>
    </row>
    <row r="120" spans="1:55" ht="119.65" customHeight="1">
      <c r="A120" s="43" t="str">
        <f t="shared" si="0"/>
        <v>40742B-LAKblack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06-204-09</v>
      </c>
      <c r="C120" s="44" t="s">
        <v>2158</v>
      </c>
      <c r="D120" s="43" t="str">
        <f>IF(A120&lt;&gt;"",_xlfn.XLOOKUP(C120,'1C'!S:S,'1C'!T:T,"",0),"")</f>
        <v>Los Angeles Kings Blue Line NHL</v>
      </c>
      <c r="E120" s="43" t="str">
        <f>IF(F120&lt;&gt;"",IFERROR(VLOOKUP(F120,Категории!A:B,2,0),""),"Требуется категория")</f>
        <v>Бейсболки</v>
      </c>
      <c r="F120" s="43" t="str">
        <f>IF(A120&lt;&gt;"",IF(BA120&gt;0,_xlfn.XLOOKUP(A120,'1C'!A:A,'1C'!J:J,"",0),_xlfn.XLOOKUP(C120,'1C'!S:S,'1C'!J:J,"",0)),"")</f>
        <v>Бейсболка</v>
      </c>
      <c r="G120" s="56" t="str">
        <f>IF(C120&lt;&gt;"",IF(BA120&gt;0,_xlfn.XLOOKUP(A120,'1C'!A:A,'1C'!L:L,"",0),_xlfn.XLOOKUP(C120,'1C'!S:S,'1C'!L:L,"",0)),"")</f>
        <v>Sport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American Needle</v>
      </c>
      <c r="K120" s="104" t="s">
        <v>819</v>
      </c>
      <c r="L120" s="59" t="str">
        <f>IF(K120&lt;&gt;"",IFERROR(VLOOKUP(A120,'1C'!A:T,8,0),IFERROR(VLOOKUP(K120,Colors!D:E,2,0),"")),"")</f>
        <v>черный</v>
      </c>
      <c r="M120" s="145" t="str">
        <f>IF(K120&lt;&gt;"",IFERROR(VLOOKUP(A120,'1C'!A:T,18,0),IFERROR(VLOOKUP(K120,Colors!D:E,2,0),"")),"")</f>
        <v>черный</v>
      </c>
      <c r="N120" s="147" t="str">
        <f>IF(A120&lt;&gt;"",_xlfn.XLOOKUP(A120,'1C'!A:A,'1C'!I:I,_xlfn.XLOOKUP(C120,'1C'!S:S,'1C'!I:I,"",0),0),"")</f>
        <v>100% хлопок</v>
      </c>
      <c r="O120" s="65"/>
      <c r="P120" s="43" t="str">
        <f>IF(A120&lt;&gt;"",_xlfn.XLOOKUP(A120,'1C'!A:A,'1C'!N:N,_xlfn.XLOOKUP(C120,'1C'!S:S,'1C'!N:N,"",0),0),"")</f>
        <v>хлопковые</v>
      </c>
      <c r="Q120" s="59" t="str">
        <f>IF(P120&lt;&gt;"",IFERROR(VLOOKUP(P120,MaterialsTypes!F:G,2,0),IFERROR(VLOOKUP(N120,MaterialsTypes100,2,0),"")),IFERROR(VLOOKUP(N120,MaterialsTypes100,2,0),""))</f>
        <v>Текстиль, ткань</v>
      </c>
      <c r="R120" s="43" t="str">
        <f>IF(A120&lt;&gt;"",_xlfn.XLOOKUP(A120,'1C'!A:A,'1C'!K:K,_xlfn.XLOOKUP(C120,'1C'!S:S,'1C'!K:K,"",0),0),"")</f>
        <v>Унисекс</v>
      </c>
      <c r="S120" s="44">
        <v>29</v>
      </c>
      <c r="AQ120" s="59">
        <f t="shared" si="1"/>
        <v>29</v>
      </c>
      <c r="AR120" s="43" t="str">
        <f>IF(A120&lt;&gt;"",_xlfn.XLOOKUP(_xlfn.XLOOKUP(A120,'1C'!A:A,'1C'!O:O,_xlfn.XLOOKUP(C120,'1C'!S:S,'1C'!O:O,"",0),0),Settings!N:N,Settings!O:O,"",0),"")</f>
        <v>BD</v>
      </c>
      <c r="AS120" s="56" t="str">
        <f ca="1">IF(BA120&gt;0,_xlfn.XLOOKUP(A120,'1C'!$A:$A,'1C'!P:P,"",0,),IF(AR120&lt;&gt;"",VLOOKUP(AR120,INDIRECT(SUBSTITUTE($J120," ","")&amp;"Manufactures"),3,0),"Требуется код страны"))</f>
        <v>American Needle, Inc; 1275 Busch Parkway, Buffalo Grove, IL 60089, USA</v>
      </c>
      <c r="AT120" s="56" t="str">
        <f ca="1">IF(BA120&gt;0,_xlfn.XLOOKUP(A120,'1C'!$A:$A,'1C'!O:O,"",0),IF(AR120&lt;&gt;"",VLOOKUP(AR120,INDIRECT(SUBSTITUTE($J120," ","")&amp;"Manufactures"),2,0),"Требуется код страны"))</f>
        <v>Бангладеш</v>
      </c>
      <c r="AU120" s="76">
        <f t="shared" si="2"/>
        <v>0.1</v>
      </c>
      <c r="AV120" s="43">
        <f t="shared" si="3"/>
        <v>0.15000000000000002</v>
      </c>
      <c r="AW120" s="43">
        <f t="shared" si="4"/>
        <v>2.9000000000000004</v>
      </c>
      <c r="AX120" s="43">
        <f t="shared" si="5"/>
        <v>4.3500000000000005</v>
      </c>
      <c r="AY120" s="155">
        <v>7.8624137931034479</v>
      </c>
      <c r="AZ120" s="156">
        <f t="shared" si="6"/>
        <v>228.01</v>
      </c>
      <c r="BA120" s="45">
        <f>IF(A120&lt;&gt;"",IF(_xlfn.XLOOKUP(A120,'1C'!A:A,'1C'!A:A,0,0)&gt;0,1,0),"")</f>
        <v>1</v>
      </c>
      <c r="BB120" s="150">
        <f>IF(C120&lt;&gt;"",IF(_xlfn.XLOOKUP(C120,'1C'!S:S,'1C'!S:S,0,0)&gt;0,0,1),"")</f>
        <v>0</v>
      </c>
      <c r="BC120" s="45">
        <f t="shared" si="7"/>
        <v>0</v>
      </c>
    </row>
    <row r="121" spans="1:55" ht="120.6" customHeight="1">
      <c r="A121" s="43" t="str">
        <f t="shared" si="0"/>
        <v>40742B-MNWblack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06-205-09</v>
      </c>
      <c r="C121" s="44" t="s">
        <v>2159</v>
      </c>
      <c r="D121" s="43" t="str">
        <f>IF(A121&lt;&gt;"",_xlfn.XLOOKUP(C121,'1C'!S:S,'1C'!T:T,"",0),"")</f>
        <v>Minnesota Wild Blue Line NHL</v>
      </c>
      <c r="E121" s="43" t="str">
        <f>IF(F121&lt;&gt;"",IFERROR(VLOOKUP(F121,Категории!A:B,2,0),""),"Требуется категория")</f>
        <v>Бейсболки</v>
      </c>
      <c r="F121" s="43" t="str">
        <f>IF(A121&lt;&gt;"",IF(BA121&gt;0,_xlfn.XLOOKUP(A121,'1C'!A:A,'1C'!J:J,"",0),_xlfn.XLOOKUP(C121,'1C'!S:S,'1C'!J:J,"",0)),"")</f>
        <v>Бейсболка</v>
      </c>
      <c r="G121" s="56" t="str">
        <f>IF(C121&lt;&gt;"",IF(BA121&gt;0,_xlfn.XLOOKUP(A121,'1C'!A:A,'1C'!L:L,"",0),_xlfn.XLOOKUP(C121,'1C'!S:S,'1C'!L:L,"",0)),"")</f>
        <v>Sport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American Needle</v>
      </c>
      <c r="K121" s="104" t="s">
        <v>819</v>
      </c>
      <c r="L121" s="59" t="str">
        <f>IF(K121&lt;&gt;"",IFERROR(VLOOKUP(A121,'1C'!A:T,8,0),IFERROR(VLOOKUP(K121,Colors!D:E,2,0),"")),"")</f>
        <v>черный</v>
      </c>
      <c r="M121" s="145" t="str">
        <f>IF(K121&lt;&gt;"",IFERROR(VLOOKUP(A121,'1C'!A:T,18,0),IFERROR(VLOOKUP(K121,Colors!D:E,2,0),"")),"")</f>
        <v>черный</v>
      </c>
      <c r="N121" s="147" t="str">
        <f>IF(A121&lt;&gt;"",_xlfn.XLOOKUP(A121,'1C'!A:A,'1C'!I:I,_xlfn.XLOOKUP(C121,'1C'!S:S,'1C'!I:I,"",0),0),"")</f>
        <v>100% хлопок</v>
      </c>
      <c r="O121" s="65"/>
      <c r="P121" s="43" t="str">
        <f>IF(A121&lt;&gt;"",_xlfn.XLOOKUP(A121,'1C'!A:A,'1C'!N:N,_xlfn.XLOOKUP(C121,'1C'!S:S,'1C'!N:N,"",0),0),"")</f>
        <v>хлопковые</v>
      </c>
      <c r="Q121" s="59" t="str">
        <f>IF(P121&lt;&gt;"",IFERROR(VLOOKUP(P121,MaterialsTypes!F:G,2,0),IFERROR(VLOOKUP(N121,MaterialsTypes100,2,0),"")),IFERROR(VLOOKUP(N121,MaterialsTypes100,2,0),""))</f>
        <v>Текстиль, ткань</v>
      </c>
      <c r="R121" s="43" t="str">
        <f>IF(A121&lt;&gt;"",_xlfn.XLOOKUP(A121,'1C'!A:A,'1C'!K:K,_xlfn.XLOOKUP(C121,'1C'!S:S,'1C'!K:K,"",0),0),"")</f>
        <v>Унисекс</v>
      </c>
      <c r="S121" s="44">
        <v>12</v>
      </c>
      <c r="AQ121" s="59">
        <f t="shared" si="1"/>
        <v>12</v>
      </c>
      <c r="AR121" s="43" t="str">
        <f>IF(A121&lt;&gt;"",_xlfn.XLOOKUP(_xlfn.XLOOKUP(A121,'1C'!A:A,'1C'!O:O,_xlfn.XLOOKUP(C121,'1C'!S:S,'1C'!O:O,"",0),0),Settings!N:N,Settings!O:O,"",0),"")</f>
        <v>BD</v>
      </c>
      <c r="AS121" s="56" t="str">
        <f ca="1">IF(BA121&gt;0,_xlfn.XLOOKUP(A121,'1C'!$A:$A,'1C'!P:P,"",0,),IF(AR121&lt;&gt;"",VLOOKUP(AR121,INDIRECT(SUBSTITUTE($J121," ","")&amp;"Manufactures"),3,0),"Требуется код страны"))</f>
        <v>American Needle, Inc; 1275 Busch Parkway, Buffalo Grove, IL 60089, USA</v>
      </c>
      <c r="AT121" s="56" t="str">
        <f ca="1">IF(BA121&gt;0,_xlfn.XLOOKUP(A121,'1C'!$A:$A,'1C'!O:O,"",0),IF(AR121&lt;&gt;"",VLOOKUP(AR121,INDIRECT(SUBSTITUTE($J121," ","")&amp;"Manufactures"),2,0),"Требуется код страны"))</f>
        <v>Бангладеш</v>
      </c>
      <c r="AU121" s="76">
        <f t="shared" si="2"/>
        <v>0.1</v>
      </c>
      <c r="AV121" s="43">
        <f t="shared" si="3"/>
        <v>0.15000000000000002</v>
      </c>
      <c r="AW121" s="43">
        <f t="shared" si="4"/>
        <v>1.2000000000000002</v>
      </c>
      <c r="AX121" s="43">
        <f t="shared" si="5"/>
        <v>1.8000000000000003</v>
      </c>
      <c r="AY121" s="155">
        <v>7.8624999999999998</v>
      </c>
      <c r="AZ121" s="156">
        <f t="shared" si="6"/>
        <v>94.35</v>
      </c>
      <c r="BA121" s="45">
        <f>IF(A121&lt;&gt;"",IF(_xlfn.XLOOKUP(A121,'1C'!A:A,'1C'!A:A,0,0)&gt;0,1,0),"")</f>
        <v>1</v>
      </c>
      <c r="BB121" s="150">
        <f>IF(C121&lt;&gt;"",IF(_xlfn.XLOOKUP(C121,'1C'!S:S,'1C'!S:S,0,0)&gt;0,0,1),"")</f>
        <v>0</v>
      </c>
      <c r="BC121" s="45">
        <f t="shared" si="7"/>
        <v>0</v>
      </c>
    </row>
    <row r="122" spans="1:55" ht="115.7" customHeight="1">
      <c r="A122" s="43" t="str">
        <f t="shared" si="0"/>
        <v>40742B-PCOblack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06-423-09</v>
      </c>
      <c r="C122" s="44" t="s">
        <v>2160</v>
      </c>
      <c r="D122" s="43" t="str">
        <f>VLOOKUP(C122,Names!A:B,2,0)</f>
        <v>PHO COYOTES Blue Line</v>
      </c>
      <c r="E122" s="43" t="str">
        <f>IF(F122&lt;&gt;"",IFERROR(VLOOKUP(F122,Категории!A:B,2,0),""),"Требуется категория")</f>
        <v>Бейсболки</v>
      </c>
      <c r="F122" s="44" t="s">
        <v>327</v>
      </c>
      <c r="G122" s="63" t="s">
        <v>884</v>
      </c>
      <c r="H122" s="44" t="s">
        <v>388</v>
      </c>
      <c r="J122" s="43" t="str">
        <f>'1C'!$AF$1</f>
        <v>American Needle</v>
      </c>
      <c r="K122" s="104" t="s">
        <v>819</v>
      </c>
      <c r="L122" s="59" t="str">
        <f>IF(K122&lt;&gt;"",IFERROR(VLOOKUP(A122,'1C'!A:T,8,0),IFERROR(VLOOKUP(K122,Colors!D:E,2,0),"")),"")</f>
        <v>черный</v>
      </c>
      <c r="M122" s="145" t="str">
        <f>IF(K122&lt;&gt;"",IFERROR(VLOOKUP(A122,'1C'!A:T,18,0),IFERROR(VLOOKUP(K122,Colors!D:E,2,0),"")),"")</f>
        <v>черный</v>
      </c>
      <c r="N122" s="141" t="str">
        <f>Order!B120</f>
        <v>100% Хлопок</v>
      </c>
      <c r="O122" s="65"/>
      <c r="P122" s="44" t="s">
        <v>43</v>
      </c>
      <c r="Q122" s="59" t="str">
        <f>IF(P122&lt;&gt;"",IFERROR(VLOOKUP(P122,MaterialsTypes!F:G,2,0),IFERROR(VLOOKUP(N122,MaterialsTypes100,2,0),"")),IFERROR(VLOOKUP(N122,MaterialsTypes100,2,0),""))</f>
        <v>Текстиль, ткань</v>
      </c>
      <c r="R122" s="58" t="s">
        <v>382</v>
      </c>
      <c r="S122" s="44">
        <v>29</v>
      </c>
      <c r="AQ122" s="59">
        <f t="shared" si="1"/>
        <v>29</v>
      </c>
      <c r="AR122" s="66" t="str">
        <f>Order!A120</f>
        <v>BD</v>
      </c>
      <c r="AS122" s="56" t="str">
        <f ca="1">IF(BA122&gt;0,_xlfn.XLOOKUP(A122,'1C'!$A:$A,'1C'!P:P,"",0,),IF(AR122&lt;&gt;"",VLOOKUP(AR122,INDIRECT(SUBSTITUTE($J122," ","")&amp;"Manufactures"),3,0),"Требуется код страны"))</f>
        <v>American Needle, Inc; 1275 Busch Parkway, Buffalo Grove, IL 60089, USA</v>
      </c>
      <c r="AT122" s="56" t="str">
        <f ca="1">IF(BA122&gt;0,_xlfn.XLOOKUP(A122,'1C'!$A:$A,'1C'!O:O,"",0),IF(AR122&lt;&gt;"",VLOOKUP(AR122,INDIRECT(SUBSTITUTE($J122," ","")&amp;"Manufactures"),2,0),"Требуется код страны"))</f>
        <v>Бангладеш</v>
      </c>
      <c r="AU122" s="76">
        <f t="shared" si="2"/>
        <v>0.1</v>
      </c>
      <c r="AV122" s="43">
        <f t="shared" si="3"/>
        <v>0.15000000000000002</v>
      </c>
      <c r="AW122" s="43">
        <f t="shared" si="4"/>
        <v>2.9000000000000004</v>
      </c>
      <c r="AX122" s="43">
        <f t="shared" si="5"/>
        <v>4.3500000000000005</v>
      </c>
      <c r="AY122" s="155">
        <v>7.8624137931034479</v>
      </c>
      <c r="AZ122" s="156">
        <f t="shared" si="6"/>
        <v>228.01</v>
      </c>
      <c r="BA122" s="45">
        <f>IF(A122&lt;&gt;"",IF(_xlfn.XLOOKUP(A122,'1C'!A:A,'1C'!A:A,0,0)&gt;0,1,0),"")</f>
        <v>0</v>
      </c>
      <c r="BB122" s="150">
        <f>IF(C122&lt;&gt;"",IF(_xlfn.XLOOKUP(C122,'1C'!S:S,'1C'!S:S,0,0)&gt;0,0,1),"")</f>
        <v>0</v>
      </c>
      <c r="BC122" s="45">
        <f t="shared" si="7"/>
        <v>1</v>
      </c>
    </row>
    <row r="123" spans="1:55" ht="119.65" customHeight="1">
      <c r="A123" s="43" t="str">
        <f t="shared" si="0"/>
        <v>40742B-TMLroy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06-044-06</v>
      </c>
      <c r="C123" s="44" t="s">
        <v>2161</v>
      </c>
      <c r="D123" s="43" t="str">
        <f>IF(A123&lt;&gt;"",_xlfn.XLOOKUP(C123,'1C'!S:S,'1C'!T:T,"",0),"")</f>
        <v>Toronto Maple Leafs Blue Line NHL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AMERICAN NEEDLE-Sport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American Needle</v>
      </c>
      <c r="K123" s="104" t="s">
        <v>917</v>
      </c>
      <c r="L123" s="59" t="str">
        <f>IF(K123&lt;&gt;"",IFERROR(VLOOKUP(A123,'1C'!A:T,8,0),IFERROR(VLOOKUP(K123,Colors!D:E,2,0),"")),"")</f>
        <v>синий</v>
      </c>
      <c r="M123" s="145" t="str">
        <f>IF(K123&lt;&gt;"",IFERROR(VLOOKUP(A123,'1C'!A:T,18,0),IFERROR(VLOOKUP(K123,Colors!D:E,2,0),"")),"")</f>
        <v>синий</v>
      </c>
      <c r="N123" s="147" t="str">
        <f>IF(A123&lt;&gt;"",_xlfn.XLOOKUP(A123,'1C'!A:A,'1C'!I:I,_xlfn.XLOOKUP(C123,'1C'!S:S,'1C'!I:I,"",0),0),"")</f>
        <v>100% хлопок</v>
      </c>
      <c r="O123" s="65"/>
      <c r="P123" s="43" t="str">
        <f>IF(A123&lt;&gt;"",_xlfn.XLOOKUP(A123,'1C'!A:A,'1C'!N:N,_xlfn.XLOOKUP(C123,'1C'!S:S,'1C'!N:N,"",0),0),"")</f>
        <v>хлопковые</v>
      </c>
      <c r="Q123" s="59" t="str">
        <f>IF(P123&lt;&gt;"",IFERROR(VLOOKUP(P123,MaterialsTypes!F:G,2,0),IFERROR(VLOOKUP(N123,MaterialsTypes100,2,0),"")),IFERROR(VLOOKUP(N123,MaterialsTypes100,2,0),""))</f>
        <v>Текстиль, ткань</v>
      </c>
      <c r="R123" s="43" t="str">
        <f>IF(A123&lt;&gt;"",_xlfn.XLOOKUP(A123,'1C'!A:A,'1C'!K:K,_xlfn.XLOOKUP(C123,'1C'!S:S,'1C'!K:K,"",0),0),"")</f>
        <v>Унисекс</v>
      </c>
      <c r="S123" s="44">
        <v>22</v>
      </c>
      <c r="AQ123" s="59">
        <f t="shared" si="1"/>
        <v>22</v>
      </c>
      <c r="AR123" s="43" t="str">
        <f>IF(A123&lt;&gt;"",_xlfn.XLOOKUP(_xlfn.XLOOKUP(A123,'1C'!A:A,'1C'!O:O,_xlfn.XLOOKUP(C123,'1C'!S:S,'1C'!O:O,"",0),0),Settings!N:N,Settings!O:O,"",0),"")</f>
        <v>BD</v>
      </c>
      <c r="AS123" s="56" t="str">
        <f ca="1">IF(BA123&gt;0,_xlfn.XLOOKUP(A123,'1C'!$A:$A,'1C'!P:P,"",0,),IF(AR123&lt;&gt;"",VLOOKUP(AR123,INDIRECT(SUBSTITUTE($J123," ","")&amp;"Manufactures"),3,0),"Требуется код страны"))</f>
        <v>American Needle, Inc; 1275 Busch Parkway, Buffalo Grove, IL 60089, USA</v>
      </c>
      <c r="AT123" s="56" t="str">
        <f ca="1">IF(BA123&gt;0,_xlfn.XLOOKUP(A123,'1C'!$A:$A,'1C'!O:O,"",0),IF(AR123&lt;&gt;"",VLOOKUP(AR123,INDIRECT(SUBSTITUTE($J123," ","")&amp;"Manufactures"),2,0),"Требуется код страны"))</f>
        <v>Бангладеш</v>
      </c>
      <c r="AU123" s="76">
        <f t="shared" si="2"/>
        <v>0.1</v>
      </c>
      <c r="AV123" s="43">
        <f t="shared" si="3"/>
        <v>0.15000000000000002</v>
      </c>
      <c r="AW123" s="43">
        <f t="shared" si="4"/>
        <v>2.2000000000000002</v>
      </c>
      <c r="AX123" s="43">
        <f t="shared" si="5"/>
        <v>3.3000000000000007</v>
      </c>
      <c r="AY123" s="155">
        <v>7.8627272727272723</v>
      </c>
      <c r="AZ123" s="156">
        <f t="shared" si="6"/>
        <v>172.98</v>
      </c>
      <c r="BA123" s="45">
        <f>IF(A123&lt;&gt;"",IF(_xlfn.XLOOKUP(A123,'1C'!A:A,'1C'!A:A,0,0)&gt;0,1,0),"")</f>
        <v>1</v>
      </c>
      <c r="BB123" s="150">
        <f>IF(C123&lt;&gt;"",IF(_xlfn.XLOOKUP(C123,'1C'!S:S,'1C'!S:S,0,0)&gt;0,0,1),"")</f>
        <v>0</v>
      </c>
      <c r="BC123" s="45">
        <f t="shared" si="7"/>
        <v>0</v>
      </c>
    </row>
    <row r="124" spans="1:55" ht="119.65" customHeight="1">
      <c r="A124" s="43" t="str">
        <f t="shared" si="0"/>
        <v>40742B-VACblack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06-424-09</v>
      </c>
      <c r="C124" s="44" t="s">
        <v>2162</v>
      </c>
      <c r="D124" s="43" t="str">
        <f>VLOOKUP(C124,Names!A:B,2,0)</f>
        <v>VAN CANUCKS Blue Line NHL</v>
      </c>
      <c r="E124" s="43" t="str">
        <f>IF(F124&lt;&gt;"",IFERROR(VLOOKUP(F124,Категории!A:B,2,0),""),"Требуется категория")</f>
        <v>Бейсболки</v>
      </c>
      <c r="F124" s="44" t="s">
        <v>327</v>
      </c>
      <c r="G124" s="63" t="s">
        <v>884</v>
      </c>
      <c r="H124" s="44" t="s">
        <v>388</v>
      </c>
      <c r="J124" s="43" t="str">
        <f>'1C'!$AF$1</f>
        <v>American Needle</v>
      </c>
      <c r="K124" s="104" t="s">
        <v>819</v>
      </c>
      <c r="L124" s="59" t="str">
        <f>IF(K124&lt;&gt;"",IFERROR(VLOOKUP(A124,'1C'!A:T,8,0),IFERROR(VLOOKUP(K124,Colors!D:E,2,0),"")),"")</f>
        <v>черный</v>
      </c>
      <c r="M124" s="145" t="str">
        <f>IF(K124&lt;&gt;"",IFERROR(VLOOKUP(A124,'1C'!A:T,18,0),IFERROR(VLOOKUP(K124,Colors!D:E,2,0),"")),"")</f>
        <v>черный</v>
      </c>
      <c r="N124" s="141" t="str">
        <f>Order!B122</f>
        <v>100% Хлопок</v>
      </c>
      <c r="O124" s="65"/>
      <c r="P124" s="44" t="s">
        <v>43</v>
      </c>
      <c r="Q124" s="59" t="str">
        <f>IF(P124&lt;&gt;"",IFERROR(VLOOKUP(P124,MaterialsTypes!F:G,2,0),IFERROR(VLOOKUP(N124,MaterialsTypes100,2,0),"")),IFERROR(VLOOKUP(N124,MaterialsTypes100,2,0),""))</f>
        <v>Текстиль, ткань</v>
      </c>
      <c r="R124" s="58" t="s">
        <v>382</v>
      </c>
      <c r="S124" s="44">
        <v>29</v>
      </c>
      <c r="AQ124" s="59">
        <f t="shared" si="1"/>
        <v>29</v>
      </c>
      <c r="AR124" s="66" t="str">
        <f>Order!A122</f>
        <v>BD</v>
      </c>
      <c r="AS124" s="56" t="str">
        <f ca="1">IF(BA124&gt;0,_xlfn.XLOOKUP(A124,'1C'!$A:$A,'1C'!P:P,"",0,),IF(AR124&lt;&gt;"",VLOOKUP(AR124,INDIRECT(SUBSTITUTE($J124," ","")&amp;"Manufactures"),3,0),"Требуется код страны"))</f>
        <v>American Needle, Inc; 1275 Busch Parkway, Buffalo Grove, IL 60089, USA</v>
      </c>
      <c r="AT124" s="56" t="str">
        <f ca="1">IF(BA124&gt;0,_xlfn.XLOOKUP(A124,'1C'!$A:$A,'1C'!O:O,"",0),IF(AR124&lt;&gt;"",VLOOKUP(AR124,INDIRECT(SUBSTITUTE($J124," ","")&amp;"Manufactures"),2,0),"Требуется код страны"))</f>
        <v>Бангладеш</v>
      </c>
      <c r="AU124" s="76">
        <f t="shared" si="2"/>
        <v>0.1</v>
      </c>
      <c r="AV124" s="43">
        <f t="shared" si="3"/>
        <v>0.15000000000000002</v>
      </c>
      <c r="AW124" s="43">
        <f t="shared" si="4"/>
        <v>2.9000000000000004</v>
      </c>
      <c r="AX124" s="43">
        <f t="shared" si="5"/>
        <v>4.3500000000000005</v>
      </c>
      <c r="AY124" s="155">
        <v>7.8624137931034479</v>
      </c>
      <c r="AZ124" s="156">
        <f t="shared" si="6"/>
        <v>228.01</v>
      </c>
      <c r="BA124" s="45">
        <f>IF(A124&lt;&gt;"",IF(_xlfn.XLOOKUP(A124,'1C'!A:A,'1C'!A:A,0,0)&gt;0,1,0),"")</f>
        <v>0</v>
      </c>
      <c r="BB124" s="150">
        <f>IF(C124&lt;&gt;"",IF(_xlfn.XLOOKUP(C124,'1C'!S:S,'1C'!S:S,0,0)&gt;0,0,1),"")</f>
        <v>0</v>
      </c>
      <c r="BC124" s="45">
        <f t="shared" si="7"/>
        <v>1</v>
      </c>
    </row>
    <row r="125" spans="1:55" ht="120.6" customHeight="1">
      <c r="A125" s="43" t="str">
        <f t="shared" si="0"/>
        <v>40742C-DASblack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06-425-09</v>
      </c>
      <c r="C125" s="44" t="s">
        <v>2163</v>
      </c>
      <c r="D125" s="43" t="str">
        <f>VLOOKUP(C125,Names!A:B,2,0)</f>
        <v>DAL STARS Blue Line NHL</v>
      </c>
      <c r="E125" s="43" t="str">
        <f>IF(F125&lt;&gt;"",IFERROR(VLOOKUP(F125,Категории!A:B,2,0),""),"Требуется категория")</f>
        <v>Бейсболки</v>
      </c>
      <c r="F125" s="44" t="s">
        <v>327</v>
      </c>
      <c r="G125" s="63" t="s">
        <v>884</v>
      </c>
      <c r="H125" s="44" t="s">
        <v>388</v>
      </c>
      <c r="J125" s="43" t="str">
        <f>'1C'!$AF$1</f>
        <v>American Needle</v>
      </c>
      <c r="K125" s="104" t="s">
        <v>819</v>
      </c>
      <c r="L125" s="59" t="str">
        <f>IF(K125&lt;&gt;"",IFERROR(VLOOKUP(A125,'1C'!A:T,8,0),IFERROR(VLOOKUP(K125,Colors!D:E,2,0),"")),"")</f>
        <v>черный</v>
      </c>
      <c r="M125" s="145" t="str">
        <f>IF(K125&lt;&gt;"",IFERROR(VLOOKUP(A125,'1C'!A:T,18,0),IFERROR(VLOOKUP(K125,Colors!D:E,2,0),"")),"")</f>
        <v>черный</v>
      </c>
      <c r="N125" s="141" t="str">
        <f>Order!B123</f>
        <v>100% Хлопок</v>
      </c>
      <c r="O125" s="65"/>
      <c r="P125" s="44" t="s">
        <v>43</v>
      </c>
      <c r="Q125" s="59" t="str">
        <f>IF(P125&lt;&gt;"",IFERROR(VLOOKUP(P125,MaterialsTypes!F:G,2,0),IFERROR(VLOOKUP(N125,MaterialsTypes100,2,0),"")),IFERROR(VLOOKUP(N125,MaterialsTypes100,2,0),""))</f>
        <v>Текстиль, ткань</v>
      </c>
      <c r="R125" s="58" t="s">
        <v>382</v>
      </c>
      <c r="S125" s="44">
        <v>14</v>
      </c>
      <c r="AQ125" s="59">
        <f t="shared" si="1"/>
        <v>14</v>
      </c>
      <c r="AR125" s="66" t="str">
        <f>Order!A123</f>
        <v>BD</v>
      </c>
      <c r="AS125" s="56" t="str">
        <f ca="1">IF(BA125&gt;0,_xlfn.XLOOKUP(A125,'1C'!$A:$A,'1C'!P:P,"",0,),IF(AR125&lt;&gt;"",VLOOKUP(AR125,INDIRECT(SUBSTITUTE($J125," ","")&amp;"Manufactures"),3,0),"Требуется код страны"))</f>
        <v>American Needle, Inc; 1275 Busch Parkway, Buffalo Grove, IL 60089, USA</v>
      </c>
      <c r="AT125" s="56" t="str">
        <f ca="1">IF(BA125&gt;0,_xlfn.XLOOKUP(A125,'1C'!$A:$A,'1C'!O:O,"",0),IF(AR125&lt;&gt;"",VLOOKUP(AR125,INDIRECT(SUBSTITUTE($J125," ","")&amp;"Manufactures"),2,0),"Требуется код страны"))</f>
        <v>Бангладеш</v>
      </c>
      <c r="AU125" s="76">
        <f t="shared" si="2"/>
        <v>0.1</v>
      </c>
      <c r="AV125" s="43">
        <f t="shared" si="3"/>
        <v>0.15000000000000002</v>
      </c>
      <c r="AW125" s="43">
        <f t="shared" si="4"/>
        <v>1.4000000000000001</v>
      </c>
      <c r="AX125" s="43">
        <f t="shared" si="5"/>
        <v>2.1000000000000005</v>
      </c>
      <c r="AY125" s="155">
        <v>7.862857142857143</v>
      </c>
      <c r="AZ125" s="156">
        <f t="shared" si="6"/>
        <v>110.08</v>
      </c>
      <c r="BA125" s="45">
        <f>IF(A125&lt;&gt;"",IF(_xlfn.XLOOKUP(A125,'1C'!A:A,'1C'!A:A,0,0)&gt;0,1,0),"")</f>
        <v>0</v>
      </c>
      <c r="BB125" s="150">
        <f>IF(C125&lt;&gt;"",IF(_xlfn.XLOOKUP(C125,'1C'!S:S,'1C'!S:S,0,0)&gt;0,0,1),"")</f>
        <v>0</v>
      </c>
      <c r="BC125" s="45">
        <f t="shared" si="7"/>
        <v>1</v>
      </c>
    </row>
    <row r="126" spans="1:55" ht="119.65" customHeight="1">
      <c r="A126" s="43" t="str">
        <f t="shared" si="0"/>
        <v>40742D-AMDblack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06-426-09</v>
      </c>
      <c r="C126" s="44" t="s">
        <v>2164</v>
      </c>
      <c r="D126" s="43" t="str">
        <f>VLOOKUP(C126,Names!A:B,2,0)</f>
        <v>ANA MIGHTY DUCKS Blue Line NHL</v>
      </c>
      <c r="E126" s="43" t="str">
        <f>IF(F126&lt;&gt;"",IFERROR(VLOOKUP(F126,Категории!A:B,2,0),""),"Требуется категория")</f>
        <v>Бейсболки</v>
      </c>
      <c r="F126" s="44" t="s">
        <v>327</v>
      </c>
      <c r="G126" s="63" t="s">
        <v>884</v>
      </c>
      <c r="H126" s="44" t="s">
        <v>388</v>
      </c>
      <c r="J126" s="43" t="str">
        <f>'1C'!$AF$1</f>
        <v>American Needle</v>
      </c>
      <c r="K126" s="104" t="s">
        <v>819</v>
      </c>
      <c r="L126" s="56" t="str">
        <f>IF(K126&lt;&gt;"",IFERROR(VLOOKUP(A126,'1C'!A:T,8,0),IFERROR(VLOOKUP(K126,Colors!D:E,2,0),"")),"")</f>
        <v>черный</v>
      </c>
      <c r="M126" s="145" t="str">
        <f>IF(K126&lt;&gt;"",IFERROR(VLOOKUP(A126,'1C'!A:T,18,0),IFERROR(VLOOKUP(K126,Colors!D:E,2,0),"")),"")</f>
        <v>черный</v>
      </c>
      <c r="N126" s="141" t="str">
        <f>Order!B124</f>
        <v>100% Хлопок</v>
      </c>
      <c r="O126" s="65"/>
      <c r="P126" s="63" t="s">
        <v>43</v>
      </c>
      <c r="Q126" s="59" t="str">
        <f>IF(P126&lt;&gt;"",IFERROR(VLOOKUP(P126,MaterialsTypes!F:G,2,0),IFERROR(VLOOKUP(N126,MaterialsTypes100,2,0),"")),IFERROR(VLOOKUP(N126,MaterialsTypes100,2,0),""))</f>
        <v>Текстиль, ткань</v>
      </c>
      <c r="R126" s="58" t="s">
        <v>382</v>
      </c>
      <c r="S126" s="44">
        <v>34</v>
      </c>
      <c r="AQ126" s="59">
        <f t="shared" si="1"/>
        <v>34</v>
      </c>
      <c r="AR126" s="66" t="str">
        <f>Order!A124</f>
        <v>BD</v>
      </c>
      <c r="AS126" s="56" t="str">
        <f ca="1">IF(BA126&gt;0,_xlfn.XLOOKUP(A126,'1C'!$A:$A,'1C'!P:P,"",0,),IF(AR126&lt;&gt;"",VLOOKUP(AR126,INDIRECT(SUBSTITUTE($J126," ","")&amp;"Manufactures"),3,0),"Требуется код страны"))</f>
        <v>American Needle, Inc; 1275 Busch Parkway, Buffalo Grove, IL 60089, USA</v>
      </c>
      <c r="AT126" s="56" t="str">
        <f ca="1">IF(BA126&gt;0,_xlfn.XLOOKUP(A126,'1C'!$A:$A,'1C'!O:O,"",0),IF(AR126&lt;&gt;"",VLOOKUP(AR126,INDIRECT(SUBSTITUTE($J126," ","")&amp;"Manufactures"),2,0),"Требуется код страны"))</f>
        <v>Бангладеш</v>
      </c>
      <c r="AU126" s="76">
        <f t="shared" si="2"/>
        <v>0.1</v>
      </c>
      <c r="AV126" s="43">
        <f t="shared" si="3"/>
        <v>0.15000000000000002</v>
      </c>
      <c r="AW126" s="43">
        <f t="shared" si="4"/>
        <v>3.4000000000000004</v>
      </c>
      <c r="AX126" s="43">
        <f t="shared" si="5"/>
        <v>5.1000000000000005</v>
      </c>
      <c r="AY126" s="155">
        <v>7.8626470588235291</v>
      </c>
      <c r="AZ126" s="156">
        <f t="shared" si="6"/>
        <v>267.33</v>
      </c>
      <c r="BA126" s="45">
        <f>IF(A126&lt;&gt;"",IF(_xlfn.XLOOKUP(A126,'1C'!A:A,'1C'!A:A,0,0)&gt;0,1,0),"")</f>
        <v>0</v>
      </c>
      <c r="BB126" s="150">
        <f>IF(C126&lt;&gt;"",IF(_xlfn.XLOOKUP(C126,'1C'!S:S,'1C'!S:S,0,0)&gt;0,0,1),"")</f>
        <v>0</v>
      </c>
      <c r="BC126" s="45">
        <f t="shared" si="7"/>
        <v>1</v>
      </c>
    </row>
    <row r="127" spans="1:55" ht="119.65" customHeight="1">
      <c r="A127" s="43" t="str">
        <f t="shared" si="0"/>
        <v>41150A-NASAnavy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06-045-16</v>
      </c>
      <c r="C127" s="44" t="s">
        <v>2165</v>
      </c>
      <c r="D127" s="43" t="str">
        <f>IF(A127&lt;&gt;"",_xlfn.XLOOKUP(C127,'1C'!S:S,'1C'!T:T,"",0),"")</f>
        <v>Space with NASA</v>
      </c>
      <c r="E127" s="43" t="str">
        <f>IF(F127&lt;&gt;"",IFERROR(VLOOKUP(F127,Категории!A:B,2,0),""),"Требуется категория")</f>
        <v>Бейсболки</v>
      </c>
      <c r="F127" s="43" t="str">
        <f>IF(A127&lt;&gt;"",IF(BA127&gt;0,_xlfn.XLOOKUP(A127,'1C'!A:A,'1C'!J:J,"",0),_xlfn.XLOOKUP(C127,'1C'!S:S,'1C'!J:J,"",0)),"")</f>
        <v>Бейсболка с сеточкой</v>
      </c>
      <c r="G127" s="56" t="str">
        <f>IF(C127&lt;&gt;"",IF(BA127&gt;0,_xlfn.XLOOKUP(A127,'1C'!A:A,'1C'!L:L,"",0),_xlfn.XLOOKUP(C127,'1C'!S:S,'1C'!L:L,"",0)),"")</f>
        <v>AMERICAN NEEDLE-Sport</v>
      </c>
      <c r="H127" s="43" t="str">
        <f>IF(A127&lt;&gt;"",_xlfn.XLOOKUP(A127,'1C'!A:A,'1C'!M:M,_xlfn.XLOOKUP(C127,'1C'!S:S,'1C'!M:M,"",0),0))</f>
        <v>всесезон</v>
      </c>
      <c r="J127" s="43" t="str">
        <f>'1C'!$AF$1</f>
        <v>American Needle</v>
      </c>
      <c r="K127" s="104" t="s">
        <v>818</v>
      </c>
      <c r="L127" s="59" t="str">
        <f>IF(K127&lt;&gt;"",IFERROR(VLOOKUP(A127,'1C'!A:T,8,0),IFERROR(VLOOKUP(K127,Colors!D:E,2,0),"")),"")</f>
        <v>темно-синий</v>
      </c>
      <c r="M127" s="145" t="str">
        <f>IF(K127&lt;&gt;"",IFERROR(VLOOKUP(A127,'1C'!A:T,18,0),IFERROR(VLOOKUP(K127,Colors!D:E,2,0),"")),"")</f>
        <v>синий</v>
      </c>
      <c r="N127" s="147" t="str">
        <f>IF(A127&lt;&gt;"",_xlfn.XLOOKUP(A127,'1C'!A:A,'1C'!I:I,_xlfn.XLOOKUP(C127,'1C'!S:S,'1C'!I:I,"",0),0),"")</f>
        <v>50% хлопок - 50% полиэстер</v>
      </c>
      <c r="O127" s="65"/>
      <c r="P127" s="43" t="str">
        <f>IF(A127&lt;&gt;"",_xlfn.XLOOKUP(A127,'1C'!A:A,'1C'!N:N,_xlfn.XLOOKUP(C127,'1C'!S:S,'1C'!N:N,"",0),0),"")</f>
        <v>хлопковые</v>
      </c>
      <c r="Q127" s="59" t="s">
        <v>15</v>
      </c>
      <c r="R127" s="43" t="str">
        <f>IF(A127&lt;&gt;"",_xlfn.XLOOKUP(A127,'1C'!A:A,'1C'!K:K,_xlfn.XLOOKUP(C127,'1C'!S:S,'1C'!K:K,"",0),0),"")</f>
        <v>Унисекс</v>
      </c>
      <c r="S127" s="44">
        <v>18</v>
      </c>
      <c r="AQ127" s="59">
        <f t="shared" si="1"/>
        <v>18</v>
      </c>
      <c r="AR127" s="43" t="str">
        <f>IF(A127&lt;&gt;"",_xlfn.XLOOKUP(_xlfn.XLOOKUP(A127,'1C'!A:A,'1C'!O:O,_xlfn.XLOOKUP(C127,'1C'!S:S,'1C'!O:O,"",0),0),Settings!N:N,Settings!O:O,"",0),"")</f>
        <v>BD</v>
      </c>
      <c r="AS127" s="56" t="str">
        <f ca="1">IF(BA127&gt;0,_xlfn.XLOOKUP(A127,'1C'!$A:$A,'1C'!P:P,"",0,),IF(AR127&lt;&gt;"",VLOOKUP(AR127,INDIRECT(SUBSTITUTE($J127," ","")&amp;"Manufactures"),3,0),"Требуется код страны"))</f>
        <v>American Needle, Inc; 1275 Busch Parkway, Buffalo Grove, IL 60089, USA</v>
      </c>
      <c r="AT127" s="56" t="str">
        <f ca="1">IF(BA127&gt;0,_xlfn.XLOOKUP(A127,'1C'!$A:$A,'1C'!O:O,"",0),IF(AR127&lt;&gt;"",VLOOKUP(AR127,INDIRECT(SUBSTITUTE($J127," ","")&amp;"Manufactures"),2,0),"Требуется код страны"))</f>
        <v>Бангладеш</v>
      </c>
      <c r="AU127" s="76">
        <f t="shared" si="2"/>
        <v>0.1</v>
      </c>
      <c r="AV127" s="43">
        <f t="shared" si="3"/>
        <v>0.15000000000000002</v>
      </c>
      <c r="AW127" s="43">
        <f t="shared" si="4"/>
        <v>1.8</v>
      </c>
      <c r="AX127" s="43">
        <f t="shared" si="5"/>
        <v>2.7</v>
      </c>
      <c r="AY127" s="155">
        <v>6.5877777777777773</v>
      </c>
      <c r="AZ127" s="156">
        <f t="shared" si="6"/>
        <v>118.57999999999998</v>
      </c>
      <c r="BA127" s="45">
        <f>IF(A127&lt;&gt;"",IF(_xlfn.XLOOKUP(A127,'1C'!A:A,'1C'!A:A,0,0)&gt;0,1,0),"")</f>
        <v>1</v>
      </c>
      <c r="BB127" s="150">
        <f>IF(C127&lt;&gt;"",IF(_xlfn.XLOOKUP(C127,'1C'!S:S,'1C'!S:S,0,0)&gt;0,0,1),"")</f>
        <v>0</v>
      </c>
      <c r="BC127" s="45">
        <f t="shared" si="7"/>
        <v>0</v>
      </c>
    </row>
    <row r="128" spans="1:55" ht="133.69999999999999" customHeight="1">
      <c r="A128" s="43" t="str">
        <f t="shared" si="0"/>
        <v>41152A-COAblack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06-427-09</v>
      </c>
      <c r="C128" s="44" t="s">
        <v>2166</v>
      </c>
      <c r="D128" s="43" t="str">
        <f>VLOOKUP(C128,Names!A:B,2,0)</f>
        <v>CO AVALANCHE Raglan Bones</v>
      </c>
      <c r="E128" s="43" t="str">
        <f>IF(F128&lt;&gt;"",IFERROR(VLOOKUP(F128,Категории!A:B,2,0),""),"Требуется категория")</f>
        <v>Бейсболки</v>
      </c>
      <c r="F128" s="44" t="s">
        <v>792</v>
      </c>
      <c r="G128" s="63" t="s">
        <v>884</v>
      </c>
      <c r="H128" s="44" t="s">
        <v>388</v>
      </c>
      <c r="J128" s="43" t="str">
        <f>'1C'!$AF$1</f>
        <v>American Needle</v>
      </c>
      <c r="K128" s="104" t="s">
        <v>819</v>
      </c>
      <c r="L128" s="56" t="str">
        <f>IF(K128&lt;&gt;"",IFERROR(VLOOKUP(A128,'1C'!A:T,8,0),IFERROR(VLOOKUP(K128,Colors!D:E,2,0),"")),"")</f>
        <v>черный</v>
      </c>
      <c r="M128" s="145" t="str">
        <f>IF(K128&lt;&gt;"",IFERROR(VLOOKUP(A128,'1C'!A:T,18,0),IFERROR(VLOOKUP(K128,Colors!D:E,2,0),"")),"")</f>
        <v>черный</v>
      </c>
      <c r="N128" s="141" t="str">
        <f>Order!B126</f>
        <v>100% Хлопок</v>
      </c>
      <c r="O128" s="65"/>
      <c r="P128" s="63" t="s">
        <v>43</v>
      </c>
      <c r="Q128" s="59" t="str">
        <f>IF(P128&lt;&gt;"",IFERROR(VLOOKUP(P128,MaterialsTypes!F:G,2,0),IFERROR(VLOOKUP(N128,MaterialsTypes100,2,0),"")),IFERROR(VLOOKUP(N128,MaterialsTypes100,2,0),""))</f>
        <v>Текстиль, ткань</v>
      </c>
      <c r="R128" s="58" t="s">
        <v>382</v>
      </c>
      <c r="S128" s="44">
        <v>6</v>
      </c>
      <c r="AQ128" s="59">
        <f t="shared" si="1"/>
        <v>6</v>
      </c>
      <c r="AR128" s="66" t="str">
        <f>Order!A126</f>
        <v>BD</v>
      </c>
      <c r="AS128" s="56" t="str">
        <f ca="1">IF(BA128&gt;0,_xlfn.XLOOKUP(A128,'1C'!$A:$A,'1C'!P:P,"",0,),IF(AR128&lt;&gt;"",VLOOKUP(AR128,INDIRECT(SUBSTITUTE($J128," ","")&amp;"Manufactures"),3,0),"Требуется код страны"))</f>
        <v>American Needle, Inc; 1275 Busch Parkway, Buffalo Grove, IL 60089, USA</v>
      </c>
      <c r="AT128" s="56" t="str">
        <f ca="1">IF(BA128&gt;0,_xlfn.XLOOKUP(A128,'1C'!$A:$A,'1C'!O:O,"",0),IF(AR128&lt;&gt;"",VLOOKUP(AR128,INDIRECT(SUBSTITUTE($J128," ","")&amp;"Manufactures"),2,0),"Требуется код страны"))</f>
        <v>Бангладеш</v>
      </c>
      <c r="AU128" s="76">
        <f t="shared" si="2"/>
        <v>0.1</v>
      </c>
      <c r="AV128" s="43">
        <f t="shared" si="3"/>
        <v>0.15000000000000002</v>
      </c>
      <c r="AW128" s="43">
        <f t="shared" si="4"/>
        <v>0.60000000000000009</v>
      </c>
      <c r="AX128" s="43">
        <f t="shared" si="5"/>
        <v>0.90000000000000013</v>
      </c>
      <c r="AY128" s="155">
        <v>9.1383333333333336</v>
      </c>
      <c r="AZ128" s="156">
        <f t="shared" si="6"/>
        <v>54.83</v>
      </c>
      <c r="BA128" s="45">
        <f>IF(A128&lt;&gt;"",IF(_xlfn.XLOOKUP(A128,'1C'!A:A,'1C'!A:A,0,0)&gt;0,1,0),"")</f>
        <v>0</v>
      </c>
      <c r="BB128" s="150">
        <f>IF(C128&lt;&gt;"",IF(_xlfn.XLOOKUP(C128,'1C'!S:S,'1C'!S:S,0,0)&gt;0,0,1),"")</f>
        <v>0</v>
      </c>
      <c r="BC128" s="45">
        <f t="shared" si="7"/>
        <v>1</v>
      </c>
    </row>
    <row r="129" spans="1:55" ht="133.69999999999999" customHeight="1">
      <c r="A129" s="43" t="str">
        <f t="shared" si="0"/>
        <v>41152A-PCOblack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06-428-09</v>
      </c>
      <c r="C129" s="44" t="s">
        <v>2167</v>
      </c>
      <c r="D129" s="43" t="str">
        <f>VLOOKUP(C129,Names!A:B,2,0)</f>
        <v>PHO COYOTES Raglan Bones</v>
      </c>
      <c r="E129" s="43" t="str">
        <f>IF(F129&lt;&gt;"",IFERROR(VLOOKUP(F129,Категории!A:B,2,0),""),"Требуется категория")</f>
        <v>Бейсболки</v>
      </c>
      <c r="F129" s="44" t="s">
        <v>792</v>
      </c>
      <c r="G129" s="63" t="s">
        <v>884</v>
      </c>
      <c r="H129" s="44" t="s">
        <v>388</v>
      </c>
      <c r="J129" s="43" t="str">
        <f>'1C'!$AF$1</f>
        <v>American Needle</v>
      </c>
      <c r="K129" s="104" t="s">
        <v>819</v>
      </c>
      <c r="L129" s="59" t="str">
        <f>IF(K129&lt;&gt;"",IFERROR(VLOOKUP(A129,'1C'!A:T,8,0),IFERROR(VLOOKUP(K129,Colors!D:E,2,0),"")),"")</f>
        <v>черный</v>
      </c>
      <c r="M129" s="145" t="str">
        <f>IF(K129&lt;&gt;"",IFERROR(VLOOKUP(A129,'1C'!A:T,18,0),IFERROR(VLOOKUP(K129,Colors!D:E,2,0),"")),"")</f>
        <v>черный</v>
      </c>
      <c r="N129" s="141" t="str">
        <f>Order!B127</f>
        <v>100% Хлопок</v>
      </c>
      <c r="O129" s="65"/>
      <c r="P129" s="44" t="s">
        <v>43</v>
      </c>
      <c r="Q129" s="59" t="str">
        <f>IF(P129&lt;&gt;"",IFERROR(VLOOKUP(P129,MaterialsTypes!F:G,2,0),IFERROR(VLOOKUP(N129,MaterialsTypes100,2,0),"")),IFERROR(VLOOKUP(N129,MaterialsTypes100,2,0),""))</f>
        <v>Текстиль, ткань</v>
      </c>
      <c r="R129" s="58" t="s">
        <v>382</v>
      </c>
      <c r="S129" s="44">
        <v>6</v>
      </c>
      <c r="AQ129" s="59">
        <f t="shared" si="1"/>
        <v>6</v>
      </c>
      <c r="AR129" s="66" t="str">
        <f>Order!A127</f>
        <v>BD</v>
      </c>
      <c r="AS129" s="56" t="str">
        <f ca="1">IF(BA129&gt;0,_xlfn.XLOOKUP(A129,'1C'!$A:$A,'1C'!P:P,"",0,),IF(AR129&lt;&gt;"",VLOOKUP(AR129,INDIRECT(SUBSTITUTE($J129," ","")&amp;"Manufactures"),3,0),"Требуется код страны"))</f>
        <v>American Needle, Inc; 1275 Busch Parkway, Buffalo Grove, IL 60089, USA</v>
      </c>
      <c r="AT129" s="56" t="str">
        <f ca="1">IF(BA129&gt;0,_xlfn.XLOOKUP(A129,'1C'!$A:$A,'1C'!O:O,"",0),IF(AR129&lt;&gt;"",VLOOKUP(AR129,INDIRECT(SUBSTITUTE($J129," ","")&amp;"Manufactures"),2,0),"Требуется код страны"))</f>
        <v>Бангладеш</v>
      </c>
      <c r="AU129" s="76">
        <f t="shared" si="2"/>
        <v>0.1</v>
      </c>
      <c r="AV129" s="43">
        <f t="shared" si="3"/>
        <v>0.15000000000000002</v>
      </c>
      <c r="AW129" s="43">
        <f t="shared" si="4"/>
        <v>0.60000000000000009</v>
      </c>
      <c r="AX129" s="43">
        <f t="shared" si="5"/>
        <v>0.90000000000000013</v>
      </c>
      <c r="AY129" s="155">
        <v>9.1383333333333336</v>
      </c>
      <c r="AZ129" s="156">
        <f t="shared" si="6"/>
        <v>54.83</v>
      </c>
      <c r="BA129" s="45">
        <f>IF(A129&lt;&gt;"",IF(_xlfn.XLOOKUP(A129,'1C'!A:A,'1C'!A:A,0,0)&gt;0,1,0),"")</f>
        <v>0</v>
      </c>
      <c r="BB129" s="150">
        <f>IF(C129&lt;&gt;"",IF(_xlfn.XLOOKUP(C129,'1C'!S:S,'1C'!S:S,0,0)&gt;0,0,1),"")</f>
        <v>0</v>
      </c>
      <c r="BC129" s="45">
        <f t="shared" si="7"/>
        <v>1</v>
      </c>
    </row>
    <row r="130" spans="1:55" ht="138.94999999999999" customHeight="1">
      <c r="A130" s="43" t="str">
        <f t="shared" si="0"/>
        <v>41152B-LAKblack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06-429-09</v>
      </c>
      <c r="C130" s="44" t="s">
        <v>2168</v>
      </c>
      <c r="D130" s="43" t="str">
        <f>VLOOKUP(C130,Names!A:B,2,0)</f>
        <v>Los Angeles Kings Raglan Bones</v>
      </c>
      <c r="E130" s="43" t="str">
        <f>IF(F130&lt;&gt;"",IFERROR(VLOOKUP(F130,Категории!A:B,2,0),""),"Требуется категория")</f>
        <v>Бейсболки</v>
      </c>
      <c r="F130" s="44" t="s">
        <v>792</v>
      </c>
      <c r="G130" s="63" t="s">
        <v>884</v>
      </c>
      <c r="H130" s="44" t="s">
        <v>388</v>
      </c>
      <c r="J130" s="43" t="str">
        <f>'1C'!$AF$1</f>
        <v>American Needle</v>
      </c>
      <c r="K130" s="104" t="s">
        <v>819</v>
      </c>
      <c r="L130" s="59" t="str">
        <f>IF(K130&lt;&gt;"",IFERROR(VLOOKUP(A130,'1C'!A:T,8,0),IFERROR(VLOOKUP(K130,Colors!D:E,2,0),"")),"")</f>
        <v>черный</v>
      </c>
      <c r="M130" s="145" t="str">
        <f>IF(K130&lt;&gt;"",IFERROR(VLOOKUP(A130,'1C'!A:T,18,0),IFERROR(VLOOKUP(K130,Colors!D:E,2,0),"")),"")</f>
        <v>черный</v>
      </c>
      <c r="N130" s="141" t="str">
        <f>Order!B128</f>
        <v>100% Хлопок</v>
      </c>
      <c r="O130" s="65"/>
      <c r="P130" s="44" t="s">
        <v>43</v>
      </c>
      <c r="Q130" s="59" t="str">
        <f>IF(P130&lt;&gt;"",IFERROR(VLOOKUP(P130,MaterialsTypes!F:G,2,0),IFERROR(VLOOKUP(N130,MaterialsTypes100,2,0),"")),IFERROR(VLOOKUP(N130,MaterialsTypes100,2,0),""))</f>
        <v>Текстиль, ткань</v>
      </c>
      <c r="R130" s="58" t="s">
        <v>382</v>
      </c>
      <c r="S130" s="44">
        <v>6</v>
      </c>
      <c r="AQ130" s="59">
        <f t="shared" si="1"/>
        <v>6</v>
      </c>
      <c r="AR130" s="66" t="str">
        <f>Order!A128</f>
        <v>BD</v>
      </c>
      <c r="AS130" s="56" t="str">
        <f ca="1">IF(BA130&gt;0,_xlfn.XLOOKUP(A130,'1C'!$A:$A,'1C'!P:P,"",0,),IF(AR130&lt;&gt;"",VLOOKUP(AR130,INDIRECT(SUBSTITUTE($J130," ","")&amp;"Manufactures"),3,0),"Требуется код страны"))</f>
        <v>American Needle, Inc; 1275 Busch Parkway, Buffalo Grove, IL 60089, USA</v>
      </c>
      <c r="AT130" s="56" t="str">
        <f ca="1">IF(BA130&gt;0,_xlfn.XLOOKUP(A130,'1C'!$A:$A,'1C'!O:O,"",0),IF(AR130&lt;&gt;"",VLOOKUP(AR130,INDIRECT(SUBSTITUTE($J130," ","")&amp;"Manufactures"),2,0),"Требуется код страны"))</f>
        <v>Бангладеш</v>
      </c>
      <c r="AU130" s="76">
        <f t="shared" si="2"/>
        <v>0.1</v>
      </c>
      <c r="AV130" s="43">
        <f t="shared" si="3"/>
        <v>0.15000000000000002</v>
      </c>
      <c r="AW130" s="43">
        <f t="shared" si="4"/>
        <v>0.60000000000000009</v>
      </c>
      <c r="AX130" s="43">
        <f t="shared" si="5"/>
        <v>0.90000000000000013</v>
      </c>
      <c r="AY130" s="155">
        <v>9.1383333333333336</v>
      </c>
      <c r="AZ130" s="156">
        <f t="shared" si="6"/>
        <v>54.83</v>
      </c>
      <c r="BA130" s="45">
        <f>IF(A130&lt;&gt;"",IF(_xlfn.XLOOKUP(A130,'1C'!A:A,'1C'!A:A,0,0)&gt;0,1,0),"")</f>
        <v>0</v>
      </c>
      <c r="BB130" s="150">
        <f>IF(C130&lt;&gt;"",IF(_xlfn.XLOOKUP(C130,'1C'!S:S,'1C'!S:S,0,0)&gt;0,0,1),"")</f>
        <v>0</v>
      </c>
      <c r="BC130" s="45">
        <f t="shared" si="7"/>
        <v>1</v>
      </c>
    </row>
    <row r="131" spans="1:55" ht="133.69999999999999" customHeight="1">
      <c r="A131" s="43" t="str">
        <f t="shared" si="0"/>
        <v>41152B-TMLblack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06-430-09</v>
      </c>
      <c r="C131" s="44" t="s">
        <v>2169</v>
      </c>
      <c r="D131" s="43" t="str">
        <f>VLOOKUP(C131,Names!A:B,2,0)</f>
        <v>TOR MAPLE LEAFS Raglan Bones</v>
      </c>
      <c r="E131" s="43" t="str">
        <f>IF(F131&lt;&gt;"",IFERROR(VLOOKUP(F131,Категории!A:B,2,0),""),"Требуется категория")</f>
        <v>Бейсболки</v>
      </c>
      <c r="F131" s="44" t="s">
        <v>792</v>
      </c>
      <c r="G131" s="63" t="s">
        <v>884</v>
      </c>
      <c r="H131" s="44" t="s">
        <v>388</v>
      </c>
      <c r="J131" s="43" t="str">
        <f>'1C'!$AF$1</f>
        <v>American Needle</v>
      </c>
      <c r="K131" s="104" t="s">
        <v>819</v>
      </c>
      <c r="L131" s="59" t="str">
        <f>IF(K131&lt;&gt;"",IFERROR(VLOOKUP(A131,'1C'!A:T,8,0),IFERROR(VLOOKUP(K131,Colors!D:E,2,0),"")),"")</f>
        <v>черный</v>
      </c>
      <c r="M131" s="145" t="str">
        <f>IF(K131&lt;&gt;"",IFERROR(VLOOKUP(A131,'1C'!A:T,18,0),IFERROR(VLOOKUP(K131,Colors!D:E,2,0),"")),"")</f>
        <v>черный</v>
      </c>
      <c r="N131" s="141" t="str">
        <f>Order!B129</f>
        <v>100% Хлопок</v>
      </c>
      <c r="O131" s="65"/>
      <c r="P131" s="44" t="s">
        <v>43</v>
      </c>
      <c r="Q131" s="59" t="str">
        <f>IF(P131&lt;&gt;"",IFERROR(VLOOKUP(P131,MaterialsTypes!F:G,2,0),IFERROR(VLOOKUP(N131,MaterialsTypes100,2,0),"")),IFERROR(VLOOKUP(N131,MaterialsTypes100,2,0),""))</f>
        <v>Текстиль, ткань</v>
      </c>
      <c r="R131" s="58" t="s">
        <v>382</v>
      </c>
      <c r="S131" s="44">
        <v>6</v>
      </c>
      <c r="AQ131" s="59">
        <f t="shared" si="1"/>
        <v>6</v>
      </c>
      <c r="AR131" s="66" t="str">
        <f>Order!A129</f>
        <v>BD</v>
      </c>
      <c r="AS131" s="56" t="str">
        <f ca="1">IF(BA131&gt;0,_xlfn.XLOOKUP(A131,'1C'!$A:$A,'1C'!P:P,"",0,),IF(AR131&lt;&gt;"",VLOOKUP(AR131,INDIRECT(SUBSTITUTE($J131," ","")&amp;"Manufactures"),3,0),"Требуется код страны"))</f>
        <v>American Needle, Inc; 1275 Busch Parkway, Buffalo Grove, IL 60089, USA</v>
      </c>
      <c r="AT131" s="56" t="str">
        <f ca="1">IF(BA131&gt;0,_xlfn.XLOOKUP(A131,'1C'!$A:$A,'1C'!O:O,"",0),IF(AR131&lt;&gt;"",VLOOKUP(AR131,INDIRECT(SUBSTITUTE($J131," ","")&amp;"Manufactures"),2,0),"Требуется код страны"))</f>
        <v>Бангладеш</v>
      </c>
      <c r="AU131" s="76">
        <f t="shared" si="2"/>
        <v>0.1</v>
      </c>
      <c r="AV131" s="43">
        <f t="shared" si="3"/>
        <v>0.15000000000000002</v>
      </c>
      <c r="AW131" s="43">
        <f t="shared" si="4"/>
        <v>0.60000000000000009</v>
      </c>
      <c r="AX131" s="43">
        <f t="shared" si="5"/>
        <v>0.90000000000000013</v>
      </c>
      <c r="AY131" s="155">
        <v>9.1383333333333336</v>
      </c>
      <c r="AZ131" s="156">
        <f t="shared" si="6"/>
        <v>54.83</v>
      </c>
      <c r="BA131" s="45">
        <f>IF(A131&lt;&gt;"",IF(_xlfn.XLOOKUP(A131,'1C'!A:A,'1C'!A:A,0,0)&gt;0,1,0),"")</f>
        <v>0</v>
      </c>
      <c r="BB131" s="150">
        <f>IF(C131&lt;&gt;"",IF(_xlfn.XLOOKUP(C131,'1C'!S:S,'1C'!S:S,0,0)&gt;0,0,1),"")</f>
        <v>0</v>
      </c>
      <c r="BC131" s="45">
        <f t="shared" si="7"/>
        <v>1</v>
      </c>
    </row>
    <row r="132" spans="1:55" ht="207.6" customHeight="1">
      <c r="A132" s="43" t="str">
        <f t="shared" si="0"/>
        <v>42050A-YNPniog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06-051-16</v>
      </c>
      <c r="C132" s="44" t="s">
        <v>2170</v>
      </c>
      <c r="D132" s="43" t="str">
        <f>IF(A132&lt;&gt;"",_xlfn.XLOOKUP(C132,'1C'!S:S,'1C'!T:T,"",0),"")</f>
        <v>Yellowstone National Park Pillow</v>
      </c>
      <c r="E132" s="43" t="str">
        <f>IF(F132&lt;&gt;"",IFERROR(VLOOKUP(F132,Категории!A:B,2,0),""),"Требуется категория")</f>
        <v>Шапки</v>
      </c>
      <c r="F132" s="43" t="str">
        <f>IF(A132&lt;&gt;"",IF(BA132&gt;0,_xlfn.XLOOKUP(A132,'1C'!A:A,'1C'!J:J,"",0),_xlfn.XLOOKUP(C132,'1C'!S:S,'1C'!J:J,"",0)),"")</f>
        <v>Шапка с помпоном</v>
      </c>
      <c r="G132" s="56" t="str">
        <f>IF(C132&lt;&gt;"",IF(BA132&gt;0,_xlfn.XLOOKUP(A132,'1C'!A:A,'1C'!L:L,"",0),_xlfn.XLOOKUP(C132,'1C'!S:S,'1C'!L:L,"",0)),"")</f>
        <v>Sport</v>
      </c>
      <c r="H132" s="43" t="str">
        <f>IF(A132&lt;&gt;"",_xlfn.XLOOKUP(A132,'1C'!A:A,'1C'!M:M,_xlfn.XLOOKUP(C132,'1C'!S:S,'1C'!M:M,"",0),0))</f>
        <v>зимний</v>
      </c>
      <c r="J132" s="43" t="str">
        <f>'1C'!$AF$1</f>
        <v>American Needle</v>
      </c>
      <c r="K132" s="104" t="s">
        <v>1048</v>
      </c>
      <c r="L132" s="59" t="str">
        <f>IF(K132&lt;&gt;"",IFERROR(VLOOKUP(A132,'1C'!A:T,8,0),IFERROR(VLOOKUP(K132,Colors!D:E,2,0),"")),"")</f>
        <v>темно-синий</v>
      </c>
      <c r="M132" s="145" t="str">
        <f>IF(K132&lt;&gt;"",IFERROR(VLOOKUP(A132,'1C'!A:T,18,0),IFERROR(VLOOKUP(K132,Colors!D:E,2,0),"")),"")</f>
        <v>синий</v>
      </c>
      <c r="N132" s="147" t="str">
        <f>IF(A132&lt;&gt;"",_xlfn.XLOOKUP(A132,'1C'!A:A,'1C'!I:I,_xlfn.XLOOKUP(C132,'1C'!S:S,'1C'!I:I,"",0),0),"")</f>
        <v>100% акрил</v>
      </c>
      <c r="O132" s="65"/>
      <c r="P132" s="43">
        <f>IF(A132&lt;&gt;"",_xlfn.XLOOKUP(A132,'1C'!A:A,'1C'!N:N,_xlfn.XLOOKUP(C132,'1C'!S:S,'1C'!N:N,"",0),0),"")</f>
        <v>0</v>
      </c>
      <c r="Q132" s="59" t="s">
        <v>34</v>
      </c>
      <c r="R132" s="43" t="str">
        <f>IF(A132&lt;&gt;"",_xlfn.XLOOKUP(A132,'1C'!A:A,'1C'!K:K,_xlfn.XLOOKUP(C132,'1C'!S:S,'1C'!K:K,"",0),0),"")</f>
        <v>Унисекс</v>
      </c>
      <c r="S132" s="44">
        <v>33</v>
      </c>
      <c r="AQ132" s="59">
        <f t="shared" si="1"/>
        <v>33</v>
      </c>
      <c r="AR132" s="43" t="str">
        <f>IF(A132&lt;&gt;"",_xlfn.XLOOKUP(_xlfn.XLOOKUP(A132,'1C'!A:A,'1C'!O:O,_xlfn.XLOOKUP(C132,'1C'!S:S,'1C'!O:O,"",0),0),Settings!N:N,Settings!O:O,"",0),"")</f>
        <v>KR</v>
      </c>
      <c r="AS132" s="56" t="str">
        <f ca="1">IF(BA132&gt;0,_xlfn.XLOOKUP(A132,'1C'!$A:$A,'1C'!P:P,"",0,),IF(AR132&lt;&gt;"",VLOOKUP(AR132,INDIRECT(SUBSTITUTE($J132," ","")&amp;"Manufactures"),3,0),"Требуется код страны"))</f>
        <v>American Needle, Inc; 1275 Busch Parkway, Buffalo Grove, IL 60089, USA</v>
      </c>
      <c r="AT132" s="56" t="str">
        <f ca="1">IF(BA132&gt;0,_xlfn.XLOOKUP(A132,'1C'!$A:$A,'1C'!O:O,"",0),IF(AR132&lt;&gt;"",VLOOKUP(AR132,INDIRECT(SUBSTITUTE($J132," ","")&amp;"Manufactures"),2,0),"Требуется код страны"))</f>
        <v>Корея, Республика</v>
      </c>
      <c r="AU132" s="76">
        <f t="shared" si="2"/>
        <v>0.1</v>
      </c>
      <c r="AV132" s="43">
        <f t="shared" si="3"/>
        <v>0.15000000000000002</v>
      </c>
      <c r="AW132" s="43">
        <f t="shared" si="4"/>
        <v>3.3000000000000003</v>
      </c>
      <c r="AX132" s="43">
        <f t="shared" si="5"/>
        <v>4.9500000000000011</v>
      </c>
      <c r="AY132" s="155">
        <v>7.0124242424242427</v>
      </c>
      <c r="AZ132" s="156">
        <f t="shared" si="6"/>
        <v>231.41</v>
      </c>
      <c r="BA132" s="45">
        <f>IF(A132&lt;&gt;"",IF(_xlfn.XLOOKUP(A132,'1C'!A:A,'1C'!A:A,0,0)&gt;0,1,0),"")</f>
        <v>1</v>
      </c>
      <c r="BB132" s="150">
        <f>IF(C132&lt;&gt;"",IF(_xlfn.XLOOKUP(C132,'1C'!S:S,'1C'!S:S,0,0)&gt;0,0,1),"")</f>
        <v>0</v>
      </c>
      <c r="BC132" s="45">
        <f t="shared" si="7"/>
        <v>0</v>
      </c>
    </row>
    <row r="133" spans="1:55" ht="119.65" customHeight="1">
      <c r="A133" s="43" t="str">
        <f t="shared" si="0"/>
        <v>42642A-LAKgrey-black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06-431-10</v>
      </c>
      <c r="C133" s="44" t="s">
        <v>2171</v>
      </c>
      <c r="D133" s="43" t="str">
        <f>VLOOKUP(C133,Names!A:B,2,0)</f>
        <v>Los Angeles Kings Ball Game</v>
      </c>
      <c r="E133" s="43" t="str">
        <f>IF(F133&lt;&gt;"",IFERROR(VLOOKUP(F133,Категории!A:B,2,0),""),"Требуется категория")</f>
        <v>Бейсболки</v>
      </c>
      <c r="F133" s="44" t="s">
        <v>2315</v>
      </c>
      <c r="G133" s="63" t="s">
        <v>884</v>
      </c>
      <c r="H133" s="44" t="s">
        <v>388</v>
      </c>
      <c r="J133" s="43" t="str">
        <f>'1C'!$AF$1</f>
        <v>American Needle</v>
      </c>
      <c r="K133" s="104" t="s">
        <v>1719</v>
      </c>
      <c r="L133" s="58" t="s">
        <v>246</v>
      </c>
      <c r="M133" s="66"/>
      <c r="N133" s="141" t="str">
        <f>Order!B131</f>
        <v>100% Хлопок</v>
      </c>
      <c r="O133" s="65"/>
      <c r="P133" s="44" t="s">
        <v>43</v>
      </c>
      <c r="Q133" s="59" t="str">
        <f>IF(P133&lt;&gt;"",IFERROR(VLOOKUP(P133,MaterialsTypes!F:G,2,0),IFERROR(VLOOKUP(N133,MaterialsTypes100,2,0),"")),IFERROR(VLOOKUP(N133,MaterialsTypes100,2,0),""))</f>
        <v>Текстиль, ткань</v>
      </c>
      <c r="R133" s="58" t="s">
        <v>382</v>
      </c>
      <c r="S133" s="44">
        <v>12</v>
      </c>
      <c r="AQ133" s="59">
        <f t="shared" si="1"/>
        <v>12</v>
      </c>
      <c r="AR133" s="66" t="str">
        <f>Order!A131</f>
        <v>BD</v>
      </c>
      <c r="AS133" s="56" t="str">
        <f ca="1">IF(BA133&gt;0,_xlfn.XLOOKUP(A133,'1C'!$A:$A,'1C'!P:P,"",0,),IF(AR133&lt;&gt;"",VLOOKUP(AR133,INDIRECT(SUBSTITUTE($J133," ","")&amp;"Manufactures"),3,0),"Требуется код страны"))</f>
        <v>American Needle, Inc; 1275 Busch Parkway, Buffalo Grove, IL 60089, USA</v>
      </c>
      <c r="AT133" s="56" t="str">
        <f ca="1">IF(BA133&gt;0,_xlfn.XLOOKUP(A133,'1C'!$A:$A,'1C'!O:O,"",0),IF(AR133&lt;&gt;"",VLOOKUP(AR133,INDIRECT(SUBSTITUTE($J133," ","")&amp;"Manufactures"),2,0),"Требуется код страны"))</f>
        <v>Бангладеш</v>
      </c>
      <c r="AU133" s="76">
        <f t="shared" si="2"/>
        <v>0.1</v>
      </c>
      <c r="AV133" s="43">
        <f t="shared" si="3"/>
        <v>0.15000000000000002</v>
      </c>
      <c r="AW133" s="43">
        <f t="shared" si="4"/>
        <v>1.2000000000000002</v>
      </c>
      <c r="AX133" s="43">
        <f t="shared" si="5"/>
        <v>1.8000000000000003</v>
      </c>
      <c r="AY133" s="155">
        <v>10.8375</v>
      </c>
      <c r="AZ133" s="156">
        <f t="shared" si="6"/>
        <v>130.05000000000001</v>
      </c>
      <c r="BA133" s="45">
        <f>IF(A133&lt;&gt;"",IF(_xlfn.XLOOKUP(A133,'1C'!A:A,'1C'!A:A,0,0)&gt;0,1,0),"")</f>
        <v>0</v>
      </c>
      <c r="BB133" s="150">
        <f>IF(C133&lt;&gt;"",IF(_xlfn.XLOOKUP(C133,'1C'!S:S,'1C'!S:S,0,0)&gt;0,0,1),"")</f>
        <v>0</v>
      </c>
      <c r="BC133" s="45">
        <f t="shared" si="7"/>
        <v>1</v>
      </c>
    </row>
    <row r="134" spans="1:55" ht="124.7" customHeight="1">
      <c r="A134" s="43" t="str">
        <f t="shared" si="0"/>
        <v>42770A-BATblack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06-432-09</v>
      </c>
      <c r="C134" s="44" t="s">
        <v>2172</v>
      </c>
      <c r="D134" s="43" t="str">
        <f>VLOOKUP(C134,Names!A:B,2,0)</f>
        <v>Baltimore Terrapins New Timer</v>
      </c>
      <c r="E134" s="43" t="str">
        <f>IF(F134&lt;&gt;"",IFERROR(VLOOKUP(F134,Категории!A:B,2,0),""),"Требуется категория")</f>
        <v>Бейсболки</v>
      </c>
      <c r="F134" s="44" t="s">
        <v>2315</v>
      </c>
      <c r="G134" s="63" t="s">
        <v>884</v>
      </c>
      <c r="H134" s="44" t="s">
        <v>388</v>
      </c>
      <c r="J134" s="43" t="str">
        <f>'1C'!$AF$1</f>
        <v>American Needle</v>
      </c>
      <c r="K134" s="104" t="s">
        <v>819</v>
      </c>
      <c r="L134" s="59" t="str">
        <f>IF(K134&lt;&gt;"",IFERROR(VLOOKUP(A134,'1C'!A:T,8,0),IFERROR(VLOOKUP(K134,Colors!D:E,2,0),"")),"")</f>
        <v>черный</v>
      </c>
      <c r="M134" s="145" t="str">
        <f>IF(K134&lt;&gt;"",IFERROR(VLOOKUP(A134,'1C'!A:T,18,0),IFERROR(VLOOKUP(K134,Colors!D:E,2,0),"")),"")</f>
        <v>черный</v>
      </c>
      <c r="N134" s="141" t="str">
        <f>Order!B132</f>
        <v>100% Хлопок</v>
      </c>
      <c r="O134" s="65"/>
      <c r="P134" s="44" t="s">
        <v>43</v>
      </c>
      <c r="Q134" s="59" t="str">
        <f>IF(P134&lt;&gt;"",IFERROR(VLOOKUP(P134,MaterialsTypes!F:G,2,0),IFERROR(VLOOKUP(N134,MaterialsTypes100,2,0),"")),IFERROR(VLOOKUP(N134,MaterialsTypes100,2,0),""))</f>
        <v>Текстиль, ткань</v>
      </c>
      <c r="R134" s="58" t="s">
        <v>382</v>
      </c>
      <c r="S134" s="44">
        <v>6</v>
      </c>
      <c r="AQ134" s="59">
        <f t="shared" si="1"/>
        <v>6</v>
      </c>
      <c r="AR134" s="66" t="str">
        <f>Order!A132</f>
        <v>BD</v>
      </c>
      <c r="AS134" s="56" t="str">
        <f ca="1">IF(BA134&gt;0,_xlfn.XLOOKUP(A134,'1C'!$A:$A,'1C'!P:P,"",0,),IF(AR134&lt;&gt;"",VLOOKUP(AR134,INDIRECT(SUBSTITUTE($J134," ","")&amp;"Manufactures"),3,0),"Требуется код страны"))</f>
        <v>American Needle, Inc; 1275 Busch Parkway, Buffalo Grove, IL 60089, USA</v>
      </c>
      <c r="AT134" s="56" t="str">
        <f ca="1">IF(BA134&gt;0,_xlfn.XLOOKUP(A134,'1C'!$A:$A,'1C'!O:O,"",0),IF(AR134&lt;&gt;"",VLOOKUP(AR134,INDIRECT(SUBSTITUTE($J134," ","")&amp;"Manufactures"),2,0),"Требуется код страны"))</f>
        <v>Бангладеш</v>
      </c>
      <c r="AU134" s="76">
        <f t="shared" si="2"/>
        <v>0.1</v>
      </c>
      <c r="AV134" s="43">
        <f t="shared" si="3"/>
        <v>0.15000000000000002</v>
      </c>
      <c r="AW134" s="43">
        <f t="shared" si="4"/>
        <v>0.60000000000000009</v>
      </c>
      <c r="AX134" s="43">
        <f t="shared" si="5"/>
        <v>0.90000000000000013</v>
      </c>
      <c r="AY134" s="155">
        <v>9.35</v>
      </c>
      <c r="AZ134" s="156">
        <f t="shared" si="6"/>
        <v>56.099999999999994</v>
      </c>
      <c r="BA134" s="45">
        <f>IF(A134&lt;&gt;"",IF(_xlfn.XLOOKUP(A134,'1C'!A:A,'1C'!A:A,0,0)&gt;0,1,0),"")</f>
        <v>0</v>
      </c>
      <c r="BB134" s="150">
        <f>IF(C134&lt;&gt;"",IF(_xlfn.XLOOKUP(C134,'1C'!S:S,'1C'!S:S,0,0)&gt;0,0,1),"")</f>
        <v>0</v>
      </c>
      <c r="BC134" s="45">
        <f t="shared" si="7"/>
        <v>1</v>
      </c>
    </row>
    <row r="135" spans="1:55" ht="119.65" customHeight="1">
      <c r="A135" s="43" t="str">
        <f t="shared" si="0"/>
        <v>42772A-CBHblack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06-433-09</v>
      </c>
      <c r="C135" s="44" t="s">
        <v>2173</v>
      </c>
      <c r="D135" s="43" t="str">
        <f>VLOOKUP(C135,Names!A:B,2,0)</f>
        <v>CHI BLACKHAWKS New Timer Slouch</v>
      </c>
      <c r="E135" s="43" t="str">
        <f>IF(F135&lt;&gt;"",IFERROR(VLOOKUP(F135,Категории!A:B,2,0),""),"Требуется категория")</f>
        <v>Бейсболки</v>
      </c>
      <c r="F135" s="44" t="s">
        <v>2315</v>
      </c>
      <c r="G135" s="63" t="s">
        <v>884</v>
      </c>
      <c r="H135" s="44" t="s">
        <v>388</v>
      </c>
      <c r="J135" s="43" t="str">
        <f>'1C'!$AF$1</f>
        <v>American Needle</v>
      </c>
      <c r="K135" s="104" t="s">
        <v>819</v>
      </c>
      <c r="L135" s="56" t="str">
        <f>IF(K135&lt;&gt;"",IFERROR(VLOOKUP(A135,'1C'!A:T,8,0),IFERROR(VLOOKUP(K135,Colors!D:E,2,0),"")),"")</f>
        <v>черный</v>
      </c>
      <c r="M135" s="145" t="str">
        <f>IF(K135&lt;&gt;"",IFERROR(VLOOKUP(A135,'1C'!A:T,18,0),IFERROR(VLOOKUP(K135,Colors!D:E,2,0),"")),"")</f>
        <v>черный</v>
      </c>
      <c r="N135" s="141" t="str">
        <f>Order!B133</f>
        <v>100% Хлопок</v>
      </c>
      <c r="O135" s="65"/>
      <c r="P135" s="63" t="s">
        <v>43</v>
      </c>
      <c r="Q135" s="59" t="str">
        <f>IF(P135&lt;&gt;"",IFERROR(VLOOKUP(P135,MaterialsTypes!F:G,2,0),IFERROR(VLOOKUP(N135,MaterialsTypes100,2,0),"")),IFERROR(VLOOKUP(N135,MaterialsTypes100,2,0),""))</f>
        <v>Текстиль, ткань</v>
      </c>
      <c r="R135" s="58" t="s">
        <v>382</v>
      </c>
      <c r="S135" s="44">
        <v>6</v>
      </c>
      <c r="AQ135" s="59">
        <f t="shared" si="1"/>
        <v>6</v>
      </c>
      <c r="AR135" s="66" t="str">
        <f>Order!A133</f>
        <v>BD</v>
      </c>
      <c r="AS135" s="56" t="str">
        <f ca="1">IF(BA135&gt;0,_xlfn.XLOOKUP(A135,'1C'!$A:$A,'1C'!P:P,"",0,),IF(AR135&lt;&gt;"",VLOOKUP(AR135,INDIRECT(SUBSTITUTE($J135," ","")&amp;"Manufactures"),3,0),"Требуется код страны"))</f>
        <v>American Needle, Inc; 1275 Busch Parkway, Buffalo Grove, IL 60089, USA</v>
      </c>
      <c r="AT135" s="56" t="str">
        <f ca="1">IF(BA135&gt;0,_xlfn.XLOOKUP(A135,'1C'!$A:$A,'1C'!O:O,"",0),IF(AR135&lt;&gt;"",VLOOKUP(AR135,INDIRECT(SUBSTITUTE($J135," ","")&amp;"Manufactures"),2,0),"Требуется код страны"))</f>
        <v>Бангладеш</v>
      </c>
      <c r="AU135" s="76">
        <f t="shared" si="2"/>
        <v>0.1</v>
      </c>
      <c r="AV135" s="43">
        <f t="shared" si="3"/>
        <v>0.15000000000000002</v>
      </c>
      <c r="AW135" s="43">
        <f t="shared" si="4"/>
        <v>0.60000000000000009</v>
      </c>
      <c r="AX135" s="43">
        <f t="shared" si="5"/>
        <v>0.90000000000000013</v>
      </c>
      <c r="AY135" s="155">
        <v>9.35</v>
      </c>
      <c r="AZ135" s="156">
        <f t="shared" si="6"/>
        <v>56.099999999999994</v>
      </c>
      <c r="BA135" s="45">
        <f>IF(A135&lt;&gt;"",IF(_xlfn.XLOOKUP(A135,'1C'!A:A,'1C'!A:A,0,0)&gt;0,1,0),"")</f>
        <v>0</v>
      </c>
      <c r="BB135" s="150">
        <f>IF(C135&lt;&gt;"",IF(_xlfn.XLOOKUP(C135,'1C'!S:S,'1C'!S:S,0,0)&gt;0,0,1),"")</f>
        <v>0</v>
      </c>
      <c r="BC135" s="45">
        <f t="shared" si="7"/>
        <v>1</v>
      </c>
    </row>
    <row r="136" spans="1:55" ht="127.35" customHeight="1">
      <c r="A136" s="43" t="str">
        <f t="shared" si="0"/>
        <v>42777A-OAOgray-kelly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06-434-08</v>
      </c>
      <c r="C136" s="44" t="s">
        <v>2174</v>
      </c>
      <c r="D136" s="43" t="str">
        <f>VLOOKUP(C136,Names!A:B,2,0)</f>
        <v>Oakland Oaks New Timer Slouch</v>
      </c>
      <c r="E136" s="43" t="str">
        <f>IF(F136&lt;&gt;"",IFERROR(VLOOKUP(F136,Категории!A:B,2,0),""),"Требуется категория")</f>
        <v>Бейсболки</v>
      </c>
      <c r="F136" s="44" t="s">
        <v>2315</v>
      </c>
      <c r="G136" s="63" t="s">
        <v>884</v>
      </c>
      <c r="H136" s="44" t="s">
        <v>388</v>
      </c>
      <c r="J136" s="43" t="str">
        <f>'1C'!$AF$1</f>
        <v>American Needle</v>
      </c>
      <c r="K136" s="104" t="s">
        <v>2287</v>
      </c>
      <c r="L136" s="63" t="s">
        <v>239</v>
      </c>
      <c r="M136" s="66"/>
      <c r="N136" s="141" t="str">
        <f>Order!B134</f>
        <v>100% Хлопок</v>
      </c>
      <c r="O136" s="65"/>
      <c r="P136" s="63" t="s">
        <v>43</v>
      </c>
      <c r="Q136" s="59" t="str">
        <f>IF(P136&lt;&gt;"",IFERROR(VLOOKUP(P136,MaterialsTypes!F:G,2,0),IFERROR(VLOOKUP(N136,MaterialsTypes100,2,0),"")),IFERROR(VLOOKUP(N136,MaterialsTypes100,2,0),""))</f>
        <v>Текстиль, ткань</v>
      </c>
      <c r="R136" s="58" t="s">
        <v>382</v>
      </c>
      <c r="S136" s="44">
        <v>4</v>
      </c>
      <c r="AQ136" s="59">
        <f t="shared" si="1"/>
        <v>4</v>
      </c>
      <c r="AR136" s="66" t="str">
        <f>Order!A134</f>
        <v>BD</v>
      </c>
      <c r="AS136" s="56" t="str">
        <f ca="1">IF(BA136&gt;0,_xlfn.XLOOKUP(A136,'1C'!$A:$A,'1C'!P:P,"",0,),IF(AR136&lt;&gt;"",VLOOKUP(AR136,INDIRECT(SUBSTITUTE($J136," ","")&amp;"Manufactures"),3,0),"Требуется код страны"))</f>
        <v>American Needle, Inc; 1275 Busch Parkway, Buffalo Grove, IL 60089, USA</v>
      </c>
      <c r="AT136" s="56" t="str">
        <f ca="1">IF(BA136&gt;0,_xlfn.XLOOKUP(A136,'1C'!$A:$A,'1C'!O:O,"",0),IF(AR136&lt;&gt;"",VLOOKUP(AR136,INDIRECT(SUBSTITUTE($J136," ","")&amp;"Manufactures"),2,0),"Требуется код страны"))</f>
        <v>Бангладеш</v>
      </c>
      <c r="AU136" s="76">
        <f t="shared" si="2"/>
        <v>0.1</v>
      </c>
      <c r="AV136" s="43">
        <f t="shared" si="3"/>
        <v>0.15000000000000002</v>
      </c>
      <c r="AW136" s="43">
        <f t="shared" si="4"/>
        <v>0.4</v>
      </c>
      <c r="AX136" s="43">
        <f t="shared" si="5"/>
        <v>0.60000000000000009</v>
      </c>
      <c r="AY136" s="155">
        <v>9.35</v>
      </c>
      <c r="AZ136" s="156">
        <f t="shared" si="6"/>
        <v>37.4</v>
      </c>
      <c r="BA136" s="45">
        <f>IF(A136&lt;&gt;"",IF(_xlfn.XLOOKUP(A136,'1C'!A:A,'1C'!A:A,0,0)&gt;0,1,0),"")</f>
        <v>0</v>
      </c>
      <c r="BB136" s="150">
        <f>IF(C136&lt;&gt;"",IF(_xlfn.XLOOKUP(C136,'1C'!S:S,'1C'!S:S,0,0)&gt;0,0,1),"")</f>
        <v>0</v>
      </c>
      <c r="BC136" s="45">
        <f t="shared" si="7"/>
        <v>1</v>
      </c>
    </row>
    <row r="137" spans="1:55" ht="208.35" customHeight="1">
      <c r="A137" s="43" t="str">
        <f t="shared" si="0"/>
        <v>42810A-CALIblir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06-053-48</v>
      </c>
      <c r="C137" s="44" t="s">
        <v>2175</v>
      </c>
      <c r="D137" s="43" t="str">
        <f>IF(A137&lt;&gt;"",_xlfn.XLOOKUP(C137,'1C'!S:S,'1C'!T:T,"",0),"")</f>
        <v>California</v>
      </c>
      <c r="E137" s="43" t="str">
        <f>IF(F137&lt;&gt;"",IFERROR(VLOOKUP(F137,Категории!A:B,2,0),""),"Требуется категория")</f>
        <v>Шапки</v>
      </c>
      <c r="F137" s="43" t="str">
        <f>IF(A137&lt;&gt;"",IF(BA137&gt;0,_xlfn.XLOOKUP(A137,'1C'!A:A,'1C'!J:J,"",0),_xlfn.XLOOKUP(C137,'1C'!S:S,'1C'!J:J,"",0)),"")</f>
        <v>Шапка с помпоном</v>
      </c>
      <c r="G137" s="56" t="str">
        <f>IF(C137&lt;&gt;"",IF(BA137&gt;0,_xlfn.XLOOKUP(A137,'1C'!A:A,'1C'!L:L,"",0),_xlfn.XLOOKUP(C137,'1C'!S:S,'1C'!L:L,"",0)),"")</f>
        <v>AMERICAN NEEDLE-State</v>
      </c>
      <c r="H137" s="43" t="str">
        <f>IF(A137&lt;&gt;"",_xlfn.XLOOKUP(A137,'1C'!A:A,'1C'!M:M,_xlfn.XLOOKUP(C137,'1C'!S:S,'1C'!M:M,"",0),0))</f>
        <v>зимний</v>
      </c>
      <c r="J137" s="43" t="str">
        <f>'1C'!$AF$1</f>
        <v>American Needle</v>
      </c>
      <c r="K137" s="104" t="s">
        <v>1069</v>
      </c>
      <c r="L137" s="56" t="str">
        <f>IF(K137&lt;&gt;"",IFERROR(VLOOKUP(A137,'1C'!A:T,8,0),IFERROR(VLOOKUP(K137,Colors!D:E,2,0),"")),"")</f>
        <v>черный / белый</v>
      </c>
      <c r="M137" s="145" t="str">
        <f>IF(K137&lt;&gt;"",IFERROR(VLOOKUP(A137,'1C'!A:T,18,0),IFERROR(VLOOKUP(K137,Colors!D:E,2,0),"")),"")</f>
        <v>черный</v>
      </c>
      <c r="N137" s="56" t="str">
        <f>IF(A137&lt;&gt;"",_xlfn.XLOOKUP(A137,'1C'!A:A,'1C'!I:I,_xlfn.XLOOKUP(C137,'1C'!S:S,'1C'!I:I,"",0),0),"")</f>
        <v>100% акрил</v>
      </c>
      <c r="O137" s="65"/>
      <c r="P137" s="56">
        <f>IF(A137&lt;&gt;"",_xlfn.XLOOKUP(A137,'1C'!A:A,'1C'!N:N,_xlfn.XLOOKUP(C137,'1C'!S:S,'1C'!N:N,"",0),0),"")</f>
        <v>0</v>
      </c>
      <c r="Q137" s="59" t="s">
        <v>34</v>
      </c>
      <c r="R137" s="59" t="str">
        <f>IF(A137&lt;&gt;"",_xlfn.XLOOKUP(A137,'1C'!A:A,'1C'!K:K,_xlfn.XLOOKUP(C137,'1C'!S:S,'1C'!K:K,"",0),0),"")</f>
        <v>Унисекс</v>
      </c>
      <c r="S137" s="44">
        <v>19</v>
      </c>
      <c r="AQ137" s="59">
        <f t="shared" si="1"/>
        <v>19</v>
      </c>
      <c r="AR137" s="43" t="str">
        <f>IF(A137&lt;&gt;"",_xlfn.XLOOKUP(_xlfn.XLOOKUP(A137,'1C'!A:A,'1C'!O:O,_xlfn.XLOOKUP(C137,'1C'!S:S,'1C'!O:O,"",0),0),Settings!N:N,Settings!O:O,"",0),"")</f>
        <v>KR</v>
      </c>
      <c r="AS137" s="56" t="str">
        <f ca="1">IF(BA137&gt;0,_xlfn.XLOOKUP(A137,'1C'!$A:$A,'1C'!P:P,"",0,),IF(AR137&lt;&gt;"",VLOOKUP(AR137,INDIRECT(SUBSTITUTE($J137," ","")&amp;"Manufactures"),3,0),"Требуется код страны"))</f>
        <v>American Needle, Inc; 1275 Busch Parkway, Buffalo Grove, IL 60089, USA</v>
      </c>
      <c r="AT137" s="56" t="str">
        <f ca="1">IF(BA137&gt;0,_xlfn.XLOOKUP(A137,'1C'!$A:$A,'1C'!O:O,"",0),IF(AR137&lt;&gt;"",VLOOKUP(AR137,INDIRECT(SUBSTITUTE($J137," ","")&amp;"Manufactures"),2,0),"Требуется код страны"))</f>
        <v>Корея, Республика</v>
      </c>
      <c r="AU137" s="76">
        <f t="shared" si="2"/>
        <v>0.1</v>
      </c>
      <c r="AV137" s="43">
        <f t="shared" si="3"/>
        <v>0.15000000000000002</v>
      </c>
      <c r="AW137" s="43">
        <f t="shared" si="4"/>
        <v>1.9000000000000001</v>
      </c>
      <c r="AX137" s="43">
        <f t="shared" si="5"/>
        <v>2.8500000000000005</v>
      </c>
      <c r="AY137" s="155">
        <v>7.012631578947369</v>
      </c>
      <c r="AZ137" s="156">
        <f t="shared" si="6"/>
        <v>133.24</v>
      </c>
      <c r="BA137" s="45">
        <f>IF(A137&lt;&gt;"",IF(_xlfn.XLOOKUP(A137,'1C'!A:A,'1C'!A:A,0,0)&gt;0,1,0),"")</f>
        <v>1</v>
      </c>
      <c r="BB137" s="150">
        <f>IF(C137&lt;&gt;"",IF(_xlfn.XLOOKUP(C137,'1C'!S:S,'1C'!S:S,0,0)&gt;0,0,1),"")</f>
        <v>0</v>
      </c>
      <c r="BC137" s="45">
        <f t="shared" si="7"/>
        <v>0</v>
      </c>
    </row>
    <row r="138" spans="1:55" ht="109.35" customHeight="1">
      <c r="A138" s="43" t="str">
        <f t="shared" si="0"/>
        <v>42932A-NYRivory-royal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06-235-38</v>
      </c>
      <c r="C138" s="44" t="s">
        <v>2176</v>
      </c>
      <c r="D138" s="43" t="str">
        <f>IF(A138&lt;&gt;"",_xlfn.XLOOKUP(C138,'1C'!S:S,'1C'!T:T,"",0),"")</f>
        <v>New York Rangers United NHL</v>
      </c>
      <c r="E138" s="43" t="str">
        <f>IF(F138&lt;&gt;"",IFERROR(VLOOKUP(F138,Категории!A:B,2,0),""),"Требуется категория")</f>
        <v>Бейсболки</v>
      </c>
      <c r="F138" s="43" t="str">
        <f>IF(A138&lt;&gt;"",IF(BA138&gt;0,_xlfn.XLOOKUP(A138,'1C'!A:A,'1C'!J:J,"",0),_xlfn.XLOOKUP(C138,'1C'!S:S,'1C'!J:J,"",0)),"")</f>
        <v>Бейсболка с прямым козырьком</v>
      </c>
      <c r="G138" s="56" t="str">
        <f>IF(C138&lt;&gt;"",IF(BA138&gt;0,_xlfn.XLOOKUP(A138,'1C'!A:A,'1C'!L:L,"",0),_xlfn.XLOOKUP(C138,'1C'!S:S,'1C'!L:L,"",0)),"")</f>
        <v>Sport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American Needle</v>
      </c>
      <c r="K138" s="104" t="s">
        <v>1711</v>
      </c>
      <c r="L138" s="59" t="str">
        <f>IF(K138&lt;&gt;"",IFERROR(VLOOKUP(A138,'1C'!A:T,8,0),IFERROR(VLOOKUP(K138,Colors!D:E,2,0),"")),"")</f>
        <v>белый / синий</v>
      </c>
      <c r="M138" s="145" t="str">
        <f>IF(K138&lt;&gt;"",IFERROR(VLOOKUP(A138,'1C'!A:T,18,0),IFERROR(VLOOKUP(K138,Colors!D:E,2,0),"")),"")</f>
        <v>белый</v>
      </c>
      <c r="N138" s="147" t="str">
        <f>IF(A138&lt;&gt;"",_xlfn.XLOOKUP(A138,'1C'!A:A,'1C'!I:I,_xlfn.XLOOKUP(C138,'1C'!S:S,'1C'!I:I,"",0),0),"")</f>
        <v>80% акрил - 20% шерсть</v>
      </c>
      <c r="O138" s="65"/>
      <c r="P138" s="43" t="str">
        <f>IF(A138&lt;&gt;"",_xlfn.XLOOKUP(A138,'1C'!A:A,'1C'!N:N,_xlfn.XLOOKUP(C138,'1C'!S:S,'1C'!N:N,"",0),0),"")</f>
        <v>шерстяные</v>
      </c>
      <c r="Q138" s="59" t="s">
        <v>15</v>
      </c>
      <c r="R138" s="43" t="str">
        <f>IF(A138&lt;&gt;"",_xlfn.XLOOKUP(A138,'1C'!A:A,'1C'!K:K,_xlfn.XLOOKUP(C138,'1C'!S:S,'1C'!K:K,"",0),0),"")</f>
        <v>Унисекс</v>
      </c>
      <c r="S138" s="44">
        <v>35</v>
      </c>
      <c r="AQ138" s="59">
        <f t="shared" si="1"/>
        <v>35</v>
      </c>
      <c r="AR138" s="43" t="str">
        <f>IF(A138&lt;&gt;"",_xlfn.XLOOKUP(_xlfn.XLOOKUP(A138,'1C'!A:A,'1C'!O:O,_xlfn.XLOOKUP(C138,'1C'!S:S,'1C'!O:O,"",0),0),Settings!N:N,Settings!O:O,"",0),"")</f>
        <v>BD</v>
      </c>
      <c r="AS138" s="56" t="str">
        <f ca="1">IF(BA138&gt;0,_xlfn.XLOOKUP(A138,'1C'!$A:$A,'1C'!P:P,"",0,),IF(AR138&lt;&gt;"",VLOOKUP(AR138,INDIRECT(SUBSTITUTE($J138," ","")&amp;"Manufactures"),3,0),"Требуется код страны"))</f>
        <v>American Needle, Inc; 1275 Busch Parkway, Buffalo Grove, IL 60089, USA</v>
      </c>
      <c r="AT138" s="56" t="str">
        <f ca="1">IF(BA138&gt;0,_xlfn.XLOOKUP(A138,'1C'!$A:$A,'1C'!O:O,"",0),IF(AR138&lt;&gt;"",VLOOKUP(AR138,INDIRECT(SUBSTITUTE($J138," ","")&amp;"Manufactures"),2,0),"Требуется код страны"))</f>
        <v>Бангладеш</v>
      </c>
      <c r="AU138" s="76">
        <f t="shared" si="2"/>
        <v>0.1</v>
      </c>
      <c r="AV138" s="43">
        <f t="shared" si="3"/>
        <v>0.15000000000000002</v>
      </c>
      <c r="AW138" s="43">
        <f t="shared" si="4"/>
        <v>3.5</v>
      </c>
      <c r="AX138" s="43">
        <f t="shared" si="5"/>
        <v>5.2500000000000009</v>
      </c>
      <c r="AY138" s="155">
        <v>11.9</v>
      </c>
      <c r="AZ138" s="156">
        <f t="shared" si="6"/>
        <v>416.5</v>
      </c>
      <c r="BA138" s="45">
        <f>IF(A138&lt;&gt;"",IF(_xlfn.XLOOKUP(A138,'1C'!A:A,'1C'!A:A,0,0)&gt;0,1,0),"")</f>
        <v>1</v>
      </c>
      <c r="BB138" s="150">
        <f>IF(C138&lt;&gt;"",IF(_xlfn.XLOOKUP(C138,'1C'!S:S,'1C'!S:S,0,0)&gt;0,0,1),"")</f>
        <v>0</v>
      </c>
      <c r="BC138" s="45">
        <f t="shared" si="7"/>
        <v>0</v>
      </c>
    </row>
    <row r="139" spans="1:55" ht="115.7" customHeight="1">
      <c r="A139" s="43" t="str">
        <f t="shared" si="0"/>
        <v>42932A-PPNivory-blk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06-236-48</v>
      </c>
      <c r="C139" s="44" t="s">
        <v>2177</v>
      </c>
      <c r="D139" s="43" t="str">
        <f>IF(A139&lt;&gt;"",_xlfn.XLOOKUP(C139,'1C'!S:S,'1C'!T:T,"",0),"")</f>
        <v>Pittsburgh Penguins United NHL</v>
      </c>
      <c r="E139" s="43" t="str">
        <f>IF(F139&lt;&gt;"",IFERROR(VLOOKUP(F139,Категории!A:B,2,0),""),"Требуется категория")</f>
        <v>Бейсболки</v>
      </c>
      <c r="F139" s="43" t="str">
        <f>IF(A139&lt;&gt;"",IF(BA139&gt;0,_xlfn.XLOOKUP(A139,'1C'!A:A,'1C'!J:J,"",0),_xlfn.XLOOKUP(C139,'1C'!S:S,'1C'!J:J,"",0)),"")</f>
        <v>Бейсболка с прямым козырьком</v>
      </c>
      <c r="G139" s="56" t="str">
        <f>IF(C139&lt;&gt;"",IF(BA139&gt;0,_xlfn.XLOOKUP(A139,'1C'!A:A,'1C'!L:L,"",0),_xlfn.XLOOKUP(C139,'1C'!S:S,'1C'!L:L,"",0)),"")</f>
        <v>Sport</v>
      </c>
      <c r="H139" s="43" t="str">
        <f>IF(A139&lt;&gt;"",_xlfn.XLOOKUP(A139,'1C'!A:A,'1C'!M:M,_xlfn.XLOOKUP(C139,'1C'!S:S,'1C'!M:M,"",0),0))</f>
        <v>всесезон</v>
      </c>
      <c r="J139" s="43" t="str">
        <f>'1C'!$AF$1</f>
        <v>American Needle</v>
      </c>
      <c r="K139" s="104" t="s">
        <v>1707</v>
      </c>
      <c r="L139" s="56" t="str">
        <f>IF(K139&lt;&gt;"",IFERROR(VLOOKUP(A139,'1C'!A:T,8,0),IFERROR(VLOOKUP(K139,Colors!D:E,2,0),"")),"")</f>
        <v>белый / черный</v>
      </c>
      <c r="M139" s="145" t="str">
        <f>IF(K139&lt;&gt;"",IFERROR(VLOOKUP(A139,'1C'!A:T,18,0),IFERROR(VLOOKUP(K139,Colors!D:E,2,0),"")),"")</f>
        <v>белый</v>
      </c>
      <c r="N139" s="56" t="str">
        <f>IF(A139&lt;&gt;"",_xlfn.XLOOKUP(A139,'1C'!A:A,'1C'!I:I,_xlfn.XLOOKUP(C139,'1C'!S:S,'1C'!I:I,"",0),0),"")</f>
        <v>80% акрил - 20% шерсть</v>
      </c>
      <c r="O139" s="65"/>
      <c r="P139" s="56" t="str">
        <f>IF(A139&lt;&gt;"",_xlfn.XLOOKUP(A139,'1C'!A:A,'1C'!N:N,_xlfn.XLOOKUP(C139,'1C'!S:S,'1C'!N:N,"",0),0),"")</f>
        <v>шерстяные</v>
      </c>
      <c r="Q139" s="59" t="s">
        <v>15</v>
      </c>
      <c r="R139" s="59" t="str">
        <f>IF(A139&lt;&gt;"",_xlfn.XLOOKUP(A139,'1C'!A:A,'1C'!K:K,_xlfn.XLOOKUP(C139,'1C'!S:S,'1C'!K:K,"",0),0),"")</f>
        <v>Унисекс</v>
      </c>
      <c r="S139" s="44">
        <v>12</v>
      </c>
      <c r="AQ139" s="59">
        <f t="shared" si="1"/>
        <v>12</v>
      </c>
      <c r="AR139" s="43" t="str">
        <f>IF(A139&lt;&gt;"",_xlfn.XLOOKUP(_xlfn.XLOOKUP(A139,'1C'!A:A,'1C'!O:O,_xlfn.XLOOKUP(C139,'1C'!S:S,'1C'!O:O,"",0),0),Settings!N:N,Settings!O:O,"",0),"")</f>
        <v>BD</v>
      </c>
      <c r="AS139" s="56" t="str">
        <f ca="1">IF(BA139&gt;0,_xlfn.XLOOKUP(A139,'1C'!$A:$A,'1C'!P:P,"",0,),IF(AR139&lt;&gt;"",VLOOKUP(AR139,INDIRECT(SUBSTITUTE($J139," ","")&amp;"Manufactures"),3,0),"Требуется код страны"))</f>
        <v>American Needle, Inc; 1275 Busch Parkway, Buffalo Grove, IL 60089, USA</v>
      </c>
      <c r="AT139" s="56" t="str">
        <f ca="1">IF(BA139&gt;0,_xlfn.XLOOKUP(A139,'1C'!$A:$A,'1C'!O:O,"",0),IF(AR139&lt;&gt;"",VLOOKUP(AR139,INDIRECT(SUBSTITUTE($J139," ","")&amp;"Manufactures"),2,0),"Требуется код страны"))</f>
        <v>Бангладеш</v>
      </c>
      <c r="AU139" s="76">
        <f t="shared" si="2"/>
        <v>0.1</v>
      </c>
      <c r="AV139" s="43">
        <f t="shared" si="3"/>
        <v>0.15000000000000002</v>
      </c>
      <c r="AW139" s="43">
        <f t="shared" si="4"/>
        <v>1.2000000000000002</v>
      </c>
      <c r="AX139" s="43">
        <f t="shared" si="5"/>
        <v>1.8000000000000003</v>
      </c>
      <c r="AY139" s="155">
        <v>11.9</v>
      </c>
      <c r="AZ139" s="156">
        <f t="shared" si="6"/>
        <v>142.80000000000001</v>
      </c>
      <c r="BA139" s="45">
        <f>IF(A139&lt;&gt;"",IF(_xlfn.XLOOKUP(A139,'1C'!A:A,'1C'!A:A,0,0)&gt;0,1,0),"")</f>
        <v>1</v>
      </c>
      <c r="BB139" s="150">
        <f>IF(C139&lt;&gt;"",IF(_xlfn.XLOOKUP(C139,'1C'!S:S,'1C'!S:S,0,0)&gt;0,0,1),"")</f>
        <v>0</v>
      </c>
      <c r="BC139" s="45">
        <f t="shared" si="7"/>
        <v>0</v>
      </c>
    </row>
    <row r="140" spans="1:55" ht="111.4" customHeight="1">
      <c r="A140" s="43" t="str">
        <f t="shared" si="0"/>
        <v>42932C-VGKivory-blk-gold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06-435-48</v>
      </c>
      <c r="C140" s="44" t="s">
        <v>2178</v>
      </c>
      <c r="D140" s="43" t="str">
        <f>VLOOKUP(C140,Names!A:B,2,0)</f>
        <v>VEGAS GOLDEN KNIGHTS United</v>
      </c>
      <c r="E140" s="43" t="str">
        <f>IF(F140&lt;&gt;"",IFERROR(VLOOKUP(F140,Категории!A:B,2,0),""),"Требуется категория")</f>
        <v>Бейсболки</v>
      </c>
      <c r="F140" s="44" t="s">
        <v>792</v>
      </c>
      <c r="G140" s="63" t="s">
        <v>884</v>
      </c>
      <c r="H140" s="44" t="s">
        <v>388</v>
      </c>
      <c r="J140" s="43" t="str">
        <f>'1C'!$AF$1</f>
        <v>American Needle</v>
      </c>
      <c r="K140" s="104" t="s">
        <v>2289</v>
      </c>
      <c r="L140" s="63" t="s">
        <v>119</v>
      </c>
      <c r="M140" s="66"/>
      <c r="N140" s="141" t="str">
        <f>Order!B138</f>
        <v>80% Акрил - 20% Шерсть</v>
      </c>
      <c r="O140" s="65"/>
      <c r="P140" s="63" t="s">
        <v>43</v>
      </c>
      <c r="Q140" s="59" t="s">
        <v>15</v>
      </c>
      <c r="R140" s="58" t="s">
        <v>382</v>
      </c>
      <c r="S140" s="44">
        <v>24</v>
      </c>
      <c r="AQ140" s="59">
        <f t="shared" si="1"/>
        <v>24</v>
      </c>
      <c r="AR140" s="66" t="str">
        <f>Order!A138</f>
        <v>BD</v>
      </c>
      <c r="AS140" s="56" t="str">
        <f ca="1">IF(BA140&gt;0,_xlfn.XLOOKUP(A140,'1C'!$A:$A,'1C'!P:P,"",0,),IF(AR140&lt;&gt;"",VLOOKUP(AR140,INDIRECT(SUBSTITUTE($J140," ","")&amp;"Manufactures"),3,0),"Требуется код страны"))</f>
        <v>American Needle, Inc; 1275 Busch Parkway, Buffalo Grove, IL 60089, USA</v>
      </c>
      <c r="AT140" s="56" t="str">
        <f ca="1">IF(BA140&gt;0,_xlfn.XLOOKUP(A140,'1C'!$A:$A,'1C'!O:O,"",0),IF(AR140&lt;&gt;"",VLOOKUP(AR140,INDIRECT(SUBSTITUTE($J140," ","")&amp;"Manufactures"),2,0),"Требуется код страны"))</f>
        <v>Бангладеш</v>
      </c>
      <c r="AU140" s="76">
        <f t="shared" si="2"/>
        <v>0.1</v>
      </c>
      <c r="AV140" s="43">
        <f t="shared" si="3"/>
        <v>0.15000000000000002</v>
      </c>
      <c r="AW140" s="43">
        <f t="shared" si="4"/>
        <v>2.4000000000000004</v>
      </c>
      <c r="AX140" s="43">
        <f t="shared" si="5"/>
        <v>3.6000000000000005</v>
      </c>
      <c r="AY140" s="155">
        <v>11.9</v>
      </c>
      <c r="AZ140" s="156">
        <f t="shared" si="6"/>
        <v>285.60000000000002</v>
      </c>
      <c r="BA140" s="45">
        <f>IF(A140&lt;&gt;"",IF(_xlfn.XLOOKUP(A140,'1C'!A:A,'1C'!A:A,0,0)&gt;0,1,0),"")</f>
        <v>0</v>
      </c>
      <c r="BB140" s="150">
        <f>IF(C140&lt;&gt;"",IF(_xlfn.XLOOKUP(C140,'1C'!S:S,'1C'!S:S,0,0)&gt;0,0,1),"")</f>
        <v>0</v>
      </c>
      <c r="BC140" s="45">
        <f t="shared" si="7"/>
        <v>1</v>
      </c>
    </row>
    <row r="141" spans="1:55" ht="119.65" customHeight="1">
      <c r="A141" s="43" t="str">
        <f t="shared" si="0"/>
        <v>42960A-CALIblk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06-054-09</v>
      </c>
      <c r="C141" s="44" t="s">
        <v>2179</v>
      </c>
      <c r="D141" s="43" t="str">
        <f>IF(A141&lt;&gt;"",_xlfn.XLOOKUP(C141,'1C'!S:S,'1C'!T:T,"",0),"")</f>
        <v>California Valin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IF(A141&lt;&gt;"",IF(BA141&gt;0,_xlfn.XLOOKUP(A141,'1C'!A:A,'1C'!J:J,"",0),_xlfn.XLOOKUP(C141,'1C'!S:S,'1C'!J:J,"",0)),"")</f>
        <v>Бейсболка</v>
      </c>
      <c r="G141" s="56" t="str">
        <f>IF(C141&lt;&gt;"",IF(BA141&gt;0,_xlfn.XLOOKUP(A141,'1C'!A:A,'1C'!L:L,"",0),_xlfn.XLOOKUP(C141,'1C'!S:S,'1C'!L:L,"",0)),"")</f>
        <v>State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American Needle</v>
      </c>
      <c r="K141" s="104" t="s">
        <v>843</v>
      </c>
      <c r="L141" s="59" t="str">
        <f>IF(K141&lt;&gt;"",IFERROR(VLOOKUP(A141,'1C'!A:T,8,0),IFERROR(VLOOKUP(K141,Colors!D:E,2,0),"")),"")</f>
        <v>черный</v>
      </c>
      <c r="M141" s="145" t="str">
        <f>IF(K141&lt;&gt;"",IFERROR(VLOOKUP(A141,'1C'!A:T,18,0),IFERROR(VLOOKUP(K141,Colors!D:E,2,0),"")),"")</f>
        <v>черный</v>
      </c>
      <c r="N141" s="147" t="str">
        <f>IF(A141&lt;&gt;"",_xlfn.XLOOKUP(A141,'1C'!A:A,'1C'!I:I,_xlfn.XLOOKUP(C141,'1C'!S:S,'1C'!I:I,"",0),0),"")</f>
        <v>100% хлопок / сетка 100% полиэстер</v>
      </c>
      <c r="O141" s="65"/>
      <c r="P141" s="43" t="str">
        <f>IF(A141&lt;&gt;"",_xlfn.XLOOKUP(A141,'1C'!A:A,'1C'!N:N,_xlfn.XLOOKUP(C141,'1C'!S:S,'1C'!N:N,"",0),0),"")</f>
        <v>хлопковые</v>
      </c>
      <c r="Q141" s="59" t="s">
        <v>15</v>
      </c>
      <c r="R141" s="43" t="str">
        <f>IF(A141&lt;&gt;"",_xlfn.XLOOKUP(A141,'1C'!A:A,'1C'!K:K,_xlfn.XLOOKUP(C141,'1C'!S:S,'1C'!K:K,"",0),0),"")</f>
        <v>Унисекс</v>
      </c>
      <c r="S141" s="44">
        <v>28</v>
      </c>
      <c r="AQ141" s="59">
        <f t="shared" si="1"/>
        <v>28</v>
      </c>
      <c r="AR141" s="43" t="str">
        <f>IF(A141&lt;&gt;"",_xlfn.XLOOKUP(_xlfn.XLOOKUP(A141,'1C'!A:A,'1C'!O:O,_xlfn.XLOOKUP(C141,'1C'!S:S,'1C'!O:O,"",0),0),Settings!N:N,Settings!O:O,"",0),"")</f>
        <v>CN</v>
      </c>
      <c r="AS141" s="56" t="str">
        <f ca="1">IF(BA141&gt;0,_xlfn.XLOOKUP(A141,'1C'!$A:$A,'1C'!P:P,"",0,),IF(AR141&lt;&gt;"",VLOOKUP(AR141,INDIRECT(SUBSTITUTE($J141," ","")&amp;"Manufactures"),3,0),"Требуется код страны"))</f>
        <v>American Needle, Inc; 1275 Busch Parkway, Buffalo Grove, IL 60089, USA</v>
      </c>
      <c r="AT141" s="56" t="str">
        <f ca="1">IF(BA141&gt;0,_xlfn.XLOOKUP(A141,'1C'!$A:$A,'1C'!O:O,"",0),IF(AR141&lt;&gt;"",VLOOKUP(AR141,INDIRECT(SUBSTITUTE($J141," ","")&amp;"Manufactures"),2,0),"Требуется код страны"))</f>
        <v>Китай</v>
      </c>
      <c r="AU141" s="76">
        <f t="shared" si="2"/>
        <v>0.1</v>
      </c>
      <c r="AV141" s="43">
        <f t="shared" si="3"/>
        <v>0.15000000000000002</v>
      </c>
      <c r="AW141" s="43">
        <f t="shared" si="4"/>
        <v>2.8000000000000003</v>
      </c>
      <c r="AX141" s="43">
        <f t="shared" si="5"/>
        <v>4.2000000000000011</v>
      </c>
      <c r="AY141" s="155">
        <v>7.2250000000000005</v>
      </c>
      <c r="AZ141" s="156">
        <f t="shared" si="6"/>
        <v>202.3</v>
      </c>
      <c r="BA141" s="45">
        <f>IF(A141&lt;&gt;"",IF(_xlfn.XLOOKUP(A141,'1C'!A:A,'1C'!A:A,0,0)&gt;0,1,0),"")</f>
        <v>1</v>
      </c>
      <c r="BB141" s="150">
        <f>IF(C141&lt;&gt;"",IF(_xlfn.XLOOKUP(C141,'1C'!S:S,'1C'!S:S,0,0)&gt;0,0,1),"")</f>
        <v>0</v>
      </c>
      <c r="BC141" s="45">
        <f t="shared" si="7"/>
        <v>0</v>
      </c>
    </row>
    <row r="142" spans="1:55" ht="119.65" customHeight="1">
      <c r="A142" s="43" t="str">
        <f t="shared" si="0"/>
        <v>42960A-LOSAblk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06-055-09</v>
      </c>
      <c r="C142" s="44" t="s">
        <v>2180</v>
      </c>
      <c r="D142" s="43" t="str">
        <f>IF(A142&lt;&gt;"",_xlfn.XLOOKUP(C142,'1C'!S:S,'1C'!T:T,"",0),"")</f>
        <v>Los Angeles Valin</v>
      </c>
      <c r="E142" s="43" t="str">
        <f>IF(F142&lt;&gt;"",IFERROR(VLOOKUP(F142,Категории!A:B,2,0),""),"Требуется категория")</f>
        <v>Бейсболки</v>
      </c>
      <c r="F142" s="43" t="str">
        <f>IF(A142&lt;&gt;"",IF(BA142&gt;0,_xlfn.XLOOKUP(A142,'1C'!A:A,'1C'!J:J,"",0),_xlfn.XLOOKUP(C142,'1C'!S:S,'1C'!J:J,"",0)),"")</f>
        <v>Бейсболка с сеточкой</v>
      </c>
      <c r="G142" s="56" t="str">
        <f>IF(C142&lt;&gt;"",IF(BA142&gt;0,_xlfn.XLOOKUP(A142,'1C'!A:A,'1C'!L:L,"",0),_xlfn.XLOOKUP(C142,'1C'!S:S,'1C'!L:L,"",0)),"")</f>
        <v>AMERICAN NEEDLE-State</v>
      </c>
      <c r="H142" s="43" t="str">
        <f>IF(A142&lt;&gt;"",_xlfn.XLOOKUP(A142,'1C'!A:A,'1C'!M:M,_xlfn.XLOOKUP(C142,'1C'!S:S,'1C'!M:M,"",0),0))</f>
        <v>всесезон</v>
      </c>
      <c r="J142" s="43" t="str">
        <f>'1C'!$AF$1</f>
        <v>American Needle</v>
      </c>
      <c r="K142" s="104" t="s">
        <v>843</v>
      </c>
      <c r="L142" s="59" t="str">
        <f>IF(K142&lt;&gt;"",IFERROR(VLOOKUP(A142,'1C'!A:T,8,0),IFERROR(VLOOKUP(K142,Colors!D:E,2,0),"")),"")</f>
        <v>черный</v>
      </c>
      <c r="M142" s="145" t="str">
        <f>IF(K142&lt;&gt;"",IFERROR(VLOOKUP(A142,'1C'!A:T,18,0),IFERROR(VLOOKUP(K142,Colors!D:E,2,0),"")),"")</f>
        <v>черный</v>
      </c>
      <c r="N142" s="147" t="str">
        <f>IF(A142&lt;&gt;"",_xlfn.XLOOKUP(A142,'1C'!A:A,'1C'!I:I,_xlfn.XLOOKUP(C142,'1C'!S:S,'1C'!I:I,"",0),0),"")</f>
        <v>100% хлопок / сетка 100% полиэстер</v>
      </c>
      <c r="O142" s="65"/>
      <c r="P142" s="43" t="str">
        <f>IF(A142&lt;&gt;"",_xlfn.XLOOKUP(A142,'1C'!A:A,'1C'!N:N,_xlfn.XLOOKUP(C142,'1C'!S:S,'1C'!N:N,"",0),0),"")</f>
        <v>хлопковые</v>
      </c>
      <c r="Q142" s="59" t="s">
        <v>15</v>
      </c>
      <c r="R142" s="43" t="str">
        <f>IF(A142&lt;&gt;"",_xlfn.XLOOKUP(A142,'1C'!A:A,'1C'!K:K,_xlfn.XLOOKUP(C142,'1C'!S:S,'1C'!K:K,"",0),0),"")</f>
        <v>Унисекс</v>
      </c>
      <c r="S142" s="44">
        <v>15</v>
      </c>
      <c r="AQ142" s="59">
        <f t="shared" si="1"/>
        <v>15</v>
      </c>
      <c r="AR142" s="43" t="str">
        <f>IF(A142&lt;&gt;"",_xlfn.XLOOKUP(_xlfn.XLOOKUP(A142,'1C'!A:A,'1C'!O:O,_xlfn.XLOOKUP(C142,'1C'!S:S,'1C'!O:O,"",0),0),Settings!N:N,Settings!O:O,"",0),"")</f>
        <v>CN</v>
      </c>
      <c r="AS142" s="56" t="str">
        <f ca="1">IF(BA142&gt;0,_xlfn.XLOOKUP(A142,'1C'!$A:$A,'1C'!P:P,"",0,),IF(AR142&lt;&gt;"",VLOOKUP(AR142,INDIRECT(SUBSTITUTE($J142," ","")&amp;"Manufactures"),3,0),"Требуется код страны"))</f>
        <v>American Needle, Inc; 1275 Busch Parkway, Buffalo Grove, IL 60089, USA</v>
      </c>
      <c r="AT142" s="56" t="str">
        <f ca="1">IF(BA142&gt;0,_xlfn.XLOOKUP(A142,'1C'!$A:$A,'1C'!O:O,"",0),IF(AR142&lt;&gt;"",VLOOKUP(AR142,INDIRECT(SUBSTITUTE($J142," ","")&amp;"Manufactures"),2,0),"Требуется код страны"))</f>
        <v>Китай</v>
      </c>
      <c r="AU142" s="76">
        <f t="shared" si="2"/>
        <v>0.1</v>
      </c>
      <c r="AV142" s="43">
        <f t="shared" si="3"/>
        <v>0.15000000000000002</v>
      </c>
      <c r="AW142" s="43">
        <f t="shared" si="4"/>
        <v>1.5</v>
      </c>
      <c r="AX142" s="43">
        <f t="shared" si="5"/>
        <v>2.2500000000000004</v>
      </c>
      <c r="AY142" s="155">
        <v>6.5873333333333335</v>
      </c>
      <c r="AZ142" s="156">
        <f t="shared" si="6"/>
        <v>98.81</v>
      </c>
      <c r="BA142" s="45">
        <f>IF(A142&lt;&gt;"",IF(_xlfn.XLOOKUP(A142,'1C'!A:A,'1C'!A:A,0,0)&gt;0,1,0),"")</f>
        <v>1</v>
      </c>
      <c r="BB142" s="150">
        <f>IF(C142&lt;&gt;"",IF(_xlfn.XLOOKUP(C142,'1C'!S:S,'1C'!S:S,0,0)&gt;0,0,1),"")</f>
        <v>0</v>
      </c>
      <c r="BC142" s="45">
        <f t="shared" si="7"/>
        <v>0</v>
      </c>
    </row>
    <row r="143" spans="1:55" ht="124.7" customHeight="1">
      <c r="A143" s="43" t="str">
        <f t="shared" si="0"/>
        <v>42960A-RKMblack-ivory-smoke blue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06-436-48</v>
      </c>
      <c r="C143" s="44" t="s">
        <v>2181</v>
      </c>
      <c r="D143" s="43" t="str">
        <f>VLOOKUP(C143,Names!A:B,2,0)</f>
        <v>Rocky Mnt Valin NP</v>
      </c>
      <c r="E143" s="43" t="str">
        <f>IF(F143&lt;&gt;"",IFERROR(VLOOKUP(F143,Категории!A:B,2,0),""),"Требуется категория")</f>
        <v>Бейсболки</v>
      </c>
      <c r="F143" s="44" t="s">
        <v>356</v>
      </c>
      <c r="G143" s="63" t="s">
        <v>884</v>
      </c>
      <c r="H143" s="44" t="s">
        <v>388</v>
      </c>
      <c r="J143" s="43" t="str">
        <f>'1C'!$AF$1</f>
        <v>American Needle</v>
      </c>
      <c r="K143" s="104" t="s">
        <v>2290</v>
      </c>
      <c r="L143" s="58" t="s">
        <v>119</v>
      </c>
      <c r="M143" s="66"/>
      <c r="N143" s="141" t="str">
        <f>Order!B141</f>
        <v>100% Хлопок</v>
      </c>
      <c r="O143" s="65"/>
      <c r="P143" s="44" t="s">
        <v>43</v>
      </c>
      <c r="Q143" s="59" t="s">
        <v>15</v>
      </c>
      <c r="R143" s="58" t="s">
        <v>382</v>
      </c>
      <c r="S143" s="44">
        <v>21</v>
      </c>
      <c r="AQ143" s="59">
        <f t="shared" si="1"/>
        <v>21</v>
      </c>
      <c r="AR143" s="66" t="str">
        <f>Order!A141</f>
        <v>CN</v>
      </c>
      <c r="AS143" s="56" t="str">
        <f ca="1">IF(BA143&gt;0,_xlfn.XLOOKUP(A143,'1C'!$A:$A,'1C'!P:P,"",0,),IF(AR143&lt;&gt;"",VLOOKUP(AR143,INDIRECT(SUBSTITUTE($J143," ","")&amp;"Manufactures"),3,0),"Требуется код страны"))</f>
        <v>American Needle, Inc; 1275 Busch Parkway, Buffalo Grove, IL 60089, USA</v>
      </c>
      <c r="AT143" s="56" t="str">
        <f ca="1">IF(BA143&gt;0,_xlfn.XLOOKUP(A143,'1C'!$A:$A,'1C'!O:O,"",0),IF(AR143&lt;&gt;"",VLOOKUP(AR143,INDIRECT(SUBSTITUTE($J143," ","")&amp;"Manufactures"),2,0),"Требуется код страны"))</f>
        <v>Китай</v>
      </c>
      <c r="AU143" s="76">
        <f t="shared" si="2"/>
        <v>0.1</v>
      </c>
      <c r="AV143" s="43">
        <f t="shared" si="3"/>
        <v>0.15000000000000002</v>
      </c>
      <c r="AW143" s="43">
        <f t="shared" si="4"/>
        <v>2.1</v>
      </c>
      <c r="AX143" s="43">
        <f t="shared" si="5"/>
        <v>3.1500000000000004</v>
      </c>
      <c r="AY143" s="155">
        <v>6.8000000000000007</v>
      </c>
      <c r="AZ143" s="156">
        <f t="shared" si="6"/>
        <v>142.80000000000001</v>
      </c>
      <c r="BA143" s="45">
        <f>IF(A143&lt;&gt;"",IF(_xlfn.XLOOKUP(A143,'1C'!A:A,'1C'!A:A,0,0)&gt;0,1,0),"")</f>
        <v>0</v>
      </c>
      <c r="BB143" s="150">
        <f>IF(C143&lt;&gt;"",IF(_xlfn.XLOOKUP(C143,'1C'!S:S,'1C'!S:S,0,0)&gt;0,0,1),"")</f>
        <v>0</v>
      </c>
      <c r="BC143" s="45">
        <f t="shared" si="7"/>
        <v>1</v>
      </c>
    </row>
    <row r="144" spans="1:55" ht="123.95" customHeight="1">
      <c r="A144" s="43" t="str">
        <f t="shared" si="0"/>
        <v>42960A-SBEARevergreen ivory</v>
      </c>
      <c r="B144" s="45" t="str">
        <f>IF(C144&lt;&gt;"",_xlfn.XLOOKUP(A144,'1C'!A:A,'1C'!B:B,MID(_xlfn.XLOOKUP(C144,'1C'!S:S,'1C'!B:B,"new",0),1,7)&amp;IF(BC144=1,IF(L144&lt;&gt;"",_xlfn.XLOOKUP(L144,Colors!A:A,Colors!B:B,"new",0),"требуется цвет"),""),0))</f>
        <v>06-437-11</v>
      </c>
      <c r="C144" s="44" t="s">
        <v>2182</v>
      </c>
      <c r="D144" s="43" t="str">
        <f>VLOOKUP(C144,Names!A:B,2,0)</f>
        <v>Smokey Bear Valin</v>
      </c>
      <c r="E144" s="43" t="str">
        <f>IF(F144&lt;&gt;"",IFERROR(VLOOKUP(F144,Категории!A:B,2,0),""),"Требуется категория")</f>
        <v>Бейсболки</v>
      </c>
      <c r="F144" s="44" t="s">
        <v>356</v>
      </c>
      <c r="G144" s="44" t="s">
        <v>2716</v>
      </c>
      <c r="H144" s="44" t="s">
        <v>388</v>
      </c>
      <c r="J144" s="43" t="str">
        <f>'1C'!$AF$1</f>
        <v>American Needle</v>
      </c>
      <c r="K144" s="104" t="s">
        <v>2291</v>
      </c>
      <c r="L144" s="58" t="s">
        <v>60</v>
      </c>
      <c r="M144" s="66"/>
      <c r="N144" s="141" t="str">
        <f>Order!B142</f>
        <v>100% Хлопок</v>
      </c>
      <c r="O144" s="65"/>
      <c r="P144" s="44" t="s">
        <v>43</v>
      </c>
      <c r="Q144" s="59" t="s">
        <v>15</v>
      </c>
      <c r="R144" s="58" t="s">
        <v>382</v>
      </c>
      <c r="S144" s="44">
        <v>21</v>
      </c>
      <c r="AQ144" s="59">
        <f t="shared" si="1"/>
        <v>21</v>
      </c>
      <c r="AR144" s="66" t="str">
        <f>Order!A142</f>
        <v>CN</v>
      </c>
      <c r="AS144" s="56" t="str">
        <f ca="1">IF(BA144&gt;0,_xlfn.XLOOKUP(A144,'1C'!$A:$A,'1C'!P:P,"",0,),IF(AR144&lt;&gt;"",VLOOKUP(AR144,INDIRECT(SUBSTITUTE($J144," ","")&amp;"Manufactures"),3,0),"Требуется код страны"))</f>
        <v>American Needle, Inc; 1275 Busch Parkway, Buffalo Grove, IL 60089, USA</v>
      </c>
      <c r="AT144" s="56" t="str">
        <f ca="1">IF(BA144&gt;0,_xlfn.XLOOKUP(A144,'1C'!$A:$A,'1C'!O:O,"",0),IF(AR144&lt;&gt;"",VLOOKUP(AR144,INDIRECT(SUBSTITUTE($J144," ","")&amp;"Manufactures"),2,0),"Требуется код страны"))</f>
        <v>Китай</v>
      </c>
      <c r="AU144" s="76">
        <f t="shared" si="2"/>
        <v>0.1</v>
      </c>
      <c r="AV144" s="43">
        <f t="shared" si="3"/>
        <v>0.15000000000000002</v>
      </c>
      <c r="AW144" s="43">
        <f t="shared" si="4"/>
        <v>2.1</v>
      </c>
      <c r="AX144" s="43">
        <f t="shared" si="5"/>
        <v>3.1500000000000004</v>
      </c>
      <c r="AY144" s="155">
        <v>8.2876190476190477</v>
      </c>
      <c r="AZ144" s="156">
        <f t="shared" si="6"/>
        <v>174.04</v>
      </c>
      <c r="BA144" s="45">
        <f>IF(A144&lt;&gt;"",IF(_xlfn.XLOOKUP(A144,'1C'!A:A,'1C'!A:A,0,0)&gt;0,1,0),"")</f>
        <v>0</v>
      </c>
      <c r="BB144" s="150">
        <f>IF(C144&lt;&gt;"",IF(_xlfn.XLOOKUP(C144,'1C'!S:S,'1C'!S:S,0,0)&gt;0,0,1),"")</f>
        <v>0</v>
      </c>
      <c r="BC144" s="45">
        <f t="shared" si="7"/>
        <v>1</v>
      </c>
    </row>
    <row r="145" spans="1:55" ht="123.95" customHeight="1">
      <c r="A145" s="43" t="str">
        <f t="shared" si="0"/>
        <v>42960A-TXivory-navy</v>
      </c>
      <c r="B145" s="45" t="str">
        <f>IF(C145&lt;&gt;"",_xlfn.XLOOKUP(A145,'1C'!A:A,'1C'!B:B,MID(_xlfn.XLOOKUP(C145,'1C'!S:S,'1C'!B:B,"new",0),1,7)&amp;IF(BC145=1,IF(L145&lt;&gt;"",_xlfn.XLOOKUP(L145,Colors!A:A,Colors!B:B,"new",0),"требуется цвет"),""),0))</f>
        <v>06-438-06</v>
      </c>
      <c r="C145" s="44" t="s">
        <v>2183</v>
      </c>
      <c r="D145" s="43" t="str">
        <f>VLOOKUP(C145,Names!A:B,2,0)</f>
        <v>TEXAS Valin</v>
      </c>
      <c r="E145" s="43" t="str">
        <f>IF(F145&lt;&gt;"",IFERROR(VLOOKUP(F145,Категории!A:B,2,0),""),"Требуется категория")</f>
        <v>Бейсболки</v>
      </c>
      <c r="F145" s="44" t="s">
        <v>356</v>
      </c>
      <c r="G145" s="44" t="s">
        <v>880</v>
      </c>
      <c r="H145" s="44" t="s">
        <v>388</v>
      </c>
      <c r="J145" s="43" t="str">
        <f>'1C'!$AF$1</f>
        <v>American Needle</v>
      </c>
      <c r="K145" s="104" t="s">
        <v>1411</v>
      </c>
      <c r="L145" s="58" t="s">
        <v>71</v>
      </c>
      <c r="M145" s="66"/>
      <c r="N145" s="141" t="str">
        <f>Order!B143</f>
        <v>100% Хлопок</v>
      </c>
      <c r="O145" s="65"/>
      <c r="P145" s="44" t="s">
        <v>43</v>
      </c>
      <c r="Q145" s="59" t="s">
        <v>15</v>
      </c>
      <c r="R145" s="58" t="s">
        <v>382</v>
      </c>
      <c r="S145" s="44">
        <v>18</v>
      </c>
      <c r="AQ145" s="59">
        <f t="shared" si="1"/>
        <v>18</v>
      </c>
      <c r="AR145" s="66" t="str">
        <f>Order!A143</f>
        <v>CN</v>
      </c>
      <c r="AS145" s="56" t="str">
        <f ca="1">IF(BA145&gt;0,_xlfn.XLOOKUP(A145,'1C'!$A:$A,'1C'!P:P,"",0,),IF(AR145&lt;&gt;"",VLOOKUP(AR145,INDIRECT(SUBSTITUTE($J145," ","")&amp;"Manufactures"),3,0),"Требуется код страны"))</f>
        <v>American Needle, Inc; 1275 Busch Parkway, Buffalo Grove, IL 60089, USA</v>
      </c>
      <c r="AT145" s="56" t="str">
        <f ca="1">IF(BA145&gt;0,_xlfn.XLOOKUP(A145,'1C'!$A:$A,'1C'!O:O,"",0),IF(AR145&lt;&gt;"",VLOOKUP(AR145,INDIRECT(SUBSTITUTE($J145," ","")&amp;"Manufactures"),2,0),"Требуется код страны"))</f>
        <v>Китай</v>
      </c>
      <c r="AU145" s="76">
        <f t="shared" si="2"/>
        <v>0.1</v>
      </c>
      <c r="AV145" s="43">
        <f t="shared" si="3"/>
        <v>0.15000000000000002</v>
      </c>
      <c r="AW145" s="43">
        <f t="shared" si="4"/>
        <v>1.8</v>
      </c>
      <c r="AX145" s="43">
        <f t="shared" si="5"/>
        <v>2.7</v>
      </c>
      <c r="AY145" s="155">
        <v>6.8000000000000007</v>
      </c>
      <c r="AZ145" s="156">
        <f t="shared" si="6"/>
        <v>122.4</v>
      </c>
      <c r="BA145" s="45">
        <f>IF(A145&lt;&gt;"",IF(_xlfn.XLOOKUP(A145,'1C'!A:A,'1C'!A:A,0,0)&gt;0,1,0),"")</f>
        <v>0</v>
      </c>
      <c r="BB145" s="150">
        <f>IF(C145&lt;&gt;"",IF(_xlfn.XLOOKUP(C145,'1C'!S:S,'1C'!S:S,0,0)&gt;0,0,1),"")</f>
        <v>0</v>
      </c>
      <c r="BC145" s="45">
        <f t="shared" si="7"/>
        <v>1</v>
      </c>
    </row>
    <row r="146" spans="1:55" ht="127.35" customHeight="1">
      <c r="A146" s="43" t="str">
        <f t="shared" si="0"/>
        <v>42960A-USAivory-royal-red</v>
      </c>
      <c r="B146" s="45" t="str">
        <f>IF(C146&lt;&gt;"",_xlfn.XLOOKUP(A146,'1C'!A:A,'1C'!B:B,MID(_xlfn.XLOOKUP(C146,'1C'!S:S,'1C'!B:B,"new",0),1,7)&amp;IF(BC146=1,IF(L146&lt;&gt;"",_xlfn.XLOOKUP(L146,Colors!A:A,Colors!B:B,"new",0),"требуется цвет"),""),0))</f>
        <v>06-439-21</v>
      </c>
      <c r="C146" s="44" t="s">
        <v>2184</v>
      </c>
      <c r="D146" s="43" t="str">
        <f>VLOOKUP(C146,Names!A:B,2,0)</f>
        <v>USA Valin</v>
      </c>
      <c r="E146" s="43" t="str">
        <f>IF(F146&lt;&gt;"",IFERROR(VLOOKUP(F146,Категории!A:B,2,0),""),"Требуется категория")</f>
        <v>Бейсболки</v>
      </c>
      <c r="F146" s="44" t="s">
        <v>356</v>
      </c>
      <c r="G146" s="44" t="s">
        <v>880</v>
      </c>
      <c r="H146" s="44" t="s">
        <v>388</v>
      </c>
      <c r="J146" s="43" t="str">
        <f>'1C'!$AF$1</f>
        <v>American Needle</v>
      </c>
      <c r="K146" s="104" t="s">
        <v>2288</v>
      </c>
      <c r="L146" s="58" t="s">
        <v>252</v>
      </c>
      <c r="M146" s="66"/>
      <c r="N146" s="141" t="str">
        <f>Order!B144</f>
        <v>100% Хлопок</v>
      </c>
      <c r="O146" s="65"/>
      <c r="P146" s="44" t="s">
        <v>43</v>
      </c>
      <c r="Q146" s="59" t="s">
        <v>15</v>
      </c>
      <c r="R146" s="58" t="s">
        <v>382</v>
      </c>
      <c r="S146" s="44">
        <v>12</v>
      </c>
      <c r="AQ146" s="59">
        <f t="shared" si="1"/>
        <v>12</v>
      </c>
      <c r="AR146" s="66" t="str">
        <f>Order!A144</f>
        <v>CN</v>
      </c>
      <c r="AS146" s="56" t="str">
        <f ca="1">IF(BA146&gt;0,_xlfn.XLOOKUP(A146,'1C'!$A:$A,'1C'!P:P,"",0,),IF(AR146&lt;&gt;"",VLOOKUP(AR146,INDIRECT(SUBSTITUTE($J146," ","")&amp;"Manufactures"),3,0),"Требуется код страны"))</f>
        <v>American Needle, Inc; 1275 Busch Parkway, Buffalo Grove, IL 60089, USA</v>
      </c>
      <c r="AT146" s="56" t="str">
        <f ca="1">IF(BA146&gt;0,_xlfn.XLOOKUP(A146,'1C'!$A:$A,'1C'!O:O,"",0),IF(AR146&lt;&gt;"",VLOOKUP(AR146,INDIRECT(SUBSTITUTE($J146," ","")&amp;"Manufactures"),2,0),"Требуется код страны"))</f>
        <v>Китай</v>
      </c>
      <c r="AU146" s="76">
        <f t="shared" si="2"/>
        <v>0.1</v>
      </c>
      <c r="AV146" s="43">
        <f t="shared" si="3"/>
        <v>0.15000000000000002</v>
      </c>
      <c r="AW146" s="43">
        <f t="shared" si="4"/>
        <v>1.2000000000000002</v>
      </c>
      <c r="AX146" s="43">
        <f t="shared" si="5"/>
        <v>1.8000000000000003</v>
      </c>
      <c r="AY146" s="155">
        <v>6.8</v>
      </c>
      <c r="AZ146" s="156">
        <f t="shared" si="6"/>
        <v>81.599999999999994</v>
      </c>
      <c r="BA146" s="45">
        <f>IF(A146&lt;&gt;"",IF(_xlfn.XLOOKUP(A146,'1C'!A:A,'1C'!A:A,0,0)&gt;0,1,0),"")</f>
        <v>0</v>
      </c>
      <c r="BB146" s="150">
        <f>IF(C146&lt;&gt;"",IF(_xlfn.XLOOKUP(C146,'1C'!S:S,'1C'!S:S,0,0)&gt;0,0,1),"")</f>
        <v>0</v>
      </c>
      <c r="BC146" s="45">
        <f t="shared" si="7"/>
        <v>1</v>
      </c>
    </row>
    <row r="147" spans="1:55" ht="144" customHeight="1">
      <c r="A147" s="43" t="str">
        <f t="shared" si="0"/>
        <v>42960A-ZNPivory-blk-lt hazel</v>
      </c>
      <c r="B147" s="45" t="str">
        <f>IF(C147&lt;&gt;"",_xlfn.XLOOKUP(A147,'1C'!A:A,'1C'!B:B,MID(_xlfn.XLOOKUP(C147,'1C'!S:S,'1C'!B:B,"new",0),1,7)&amp;IF(BC147=1,IF(L147&lt;&gt;"",_xlfn.XLOOKUP(L147,Colors!A:A,Colors!B:B,"new",0),"требуется цвет"),""),0))</f>
        <v>06-440-96</v>
      </c>
      <c r="C147" s="44" t="s">
        <v>2185</v>
      </c>
      <c r="D147" s="43" t="str">
        <f>VLOOKUP(C147,Names!A:B,2,0)</f>
        <v>Zion Nat'l Park Valin</v>
      </c>
      <c r="E147" s="43" t="str">
        <f>IF(F147&lt;&gt;"",IFERROR(VLOOKUP(F147,Категории!A:B,2,0),""),"Требуется категория")</f>
        <v>Бейсболки</v>
      </c>
      <c r="F147" s="44" t="s">
        <v>356</v>
      </c>
      <c r="G147" s="44" t="s">
        <v>880</v>
      </c>
      <c r="H147" s="44" t="s">
        <v>388</v>
      </c>
      <c r="J147" s="43" t="str">
        <f>'1C'!$AF$1</f>
        <v>American Needle</v>
      </c>
      <c r="K147" s="104" t="s">
        <v>2292</v>
      </c>
      <c r="L147" s="58" t="s">
        <v>301</v>
      </c>
      <c r="M147" s="66"/>
      <c r="N147" s="141" t="str">
        <f>Order!B145</f>
        <v>100% Хлопок</v>
      </c>
      <c r="O147" s="65"/>
      <c r="P147" s="44" t="s">
        <v>43</v>
      </c>
      <c r="Q147" s="59" t="s">
        <v>15</v>
      </c>
      <c r="R147" s="58" t="s">
        <v>382</v>
      </c>
      <c r="S147" s="44">
        <v>24</v>
      </c>
      <c r="AQ147" s="59">
        <f t="shared" si="1"/>
        <v>24</v>
      </c>
      <c r="AR147" s="66" t="str">
        <f>Order!A145</f>
        <v>CN</v>
      </c>
      <c r="AS147" s="56" t="str">
        <f ca="1">IF(BA147&gt;0,_xlfn.XLOOKUP(A147,'1C'!$A:$A,'1C'!P:P,"",0,),IF(AR147&lt;&gt;"",VLOOKUP(AR147,INDIRECT(SUBSTITUTE($J147," ","")&amp;"Manufactures"),3,0),"Требуется код страны"))</f>
        <v>American Needle, Inc; 1275 Busch Parkway, Buffalo Grove, IL 60089, USA</v>
      </c>
      <c r="AT147" s="56" t="str">
        <f ca="1">IF(BA147&gt;0,_xlfn.XLOOKUP(A147,'1C'!$A:$A,'1C'!O:O,"",0),IF(AR147&lt;&gt;"",VLOOKUP(AR147,INDIRECT(SUBSTITUTE($J147," ","")&amp;"Manufactures"),2,0),"Требуется код страны"))</f>
        <v>Китай</v>
      </c>
      <c r="AU147" s="76">
        <f t="shared" si="2"/>
        <v>0.1</v>
      </c>
      <c r="AV147" s="43">
        <f t="shared" si="3"/>
        <v>0.15000000000000002</v>
      </c>
      <c r="AW147" s="43">
        <f t="shared" si="4"/>
        <v>2.4000000000000004</v>
      </c>
      <c r="AX147" s="43">
        <f t="shared" si="5"/>
        <v>3.6000000000000005</v>
      </c>
      <c r="AY147" s="155">
        <v>6.8</v>
      </c>
      <c r="AZ147" s="156">
        <f t="shared" si="6"/>
        <v>163.19999999999999</v>
      </c>
      <c r="BA147" s="45">
        <f>IF(A147&lt;&gt;"",IF(_xlfn.XLOOKUP(A147,'1C'!A:A,'1C'!A:A,0,0)&gt;0,1,0),"")</f>
        <v>0</v>
      </c>
      <c r="BB147" s="150">
        <f>IF(C147&lt;&gt;"",IF(_xlfn.XLOOKUP(C147,'1C'!S:S,'1C'!S:S,0,0)&gt;0,0,1),"")</f>
        <v>0</v>
      </c>
      <c r="BC147" s="45">
        <f t="shared" si="7"/>
        <v>1</v>
      </c>
    </row>
    <row r="148" spans="1:55" ht="124.7" customHeight="1">
      <c r="A148" s="43" t="str">
        <f t="shared" si="0"/>
        <v>42960B-CALIiblk</v>
      </c>
      <c r="B148" s="45" t="str">
        <f>IF(C148&lt;&gt;"",_xlfn.XLOOKUP(A148,'1C'!A:A,'1C'!B:B,MID(_xlfn.XLOOKUP(C148,'1C'!S:S,'1C'!B:B,"new",0),1,7)&amp;IF(BC148=1,IF(L148&lt;&gt;"",_xlfn.XLOOKUP(L148,Colors!A:A,Colors!B:B,"new",0),"требуется цвет"),""),0))</f>
        <v>06-057-09</v>
      </c>
      <c r="C148" s="44" t="s">
        <v>2186</v>
      </c>
      <c r="D148" s="43" t="str">
        <f>IF(A148&lt;&gt;"",_xlfn.XLOOKUP(C148,'1C'!S:S,'1C'!T:T,"",0),"")</f>
        <v>California Valin</v>
      </c>
      <c r="E148" s="43" t="str">
        <f>IF(F148&lt;&gt;"",IFERROR(VLOOKUP(F148,Категории!A:B,2,0),""),"Требуется категория")</f>
        <v>Бейсболки</v>
      </c>
      <c r="F148" s="43" t="str">
        <f>IF(A148&lt;&gt;"",IF(BA148&gt;0,_xlfn.XLOOKUP(A148,'1C'!A:A,'1C'!J:J,"",0),_xlfn.XLOOKUP(C148,'1C'!S:S,'1C'!J:J,"",0)),"")</f>
        <v>Бейсболка с сеточкой</v>
      </c>
      <c r="G148" s="43" t="str">
        <f>IF(C148&lt;&gt;"",IF(BA148&gt;0,_xlfn.XLOOKUP(A148,'1C'!A:A,'1C'!L:L,"",0),_xlfn.XLOOKUP(C148,'1C'!S:S,'1C'!L:L,"",0)),"")</f>
        <v>AMERICAN NEEDLE-State</v>
      </c>
      <c r="H148" s="43" t="str">
        <f>IF(A148&lt;&gt;"",_xlfn.XLOOKUP(A148,'1C'!A:A,'1C'!M:M,_xlfn.XLOOKUP(C148,'1C'!S:S,'1C'!M:M,"",0),0))</f>
        <v>всесезон</v>
      </c>
      <c r="J148" s="43" t="str">
        <f>'1C'!$AF$1</f>
        <v>American Needle</v>
      </c>
      <c r="K148" s="104" t="s">
        <v>1082</v>
      </c>
      <c r="L148" s="59" t="str">
        <f>IF(K148&lt;&gt;"",IFERROR(VLOOKUP(A148,'1C'!A:T,8,0),IFERROR(VLOOKUP(K148,Colors!D:E,2,0),"")),"")</f>
        <v>черный</v>
      </c>
      <c r="M148" s="145" t="str">
        <f>IF(K148&lt;&gt;"",IFERROR(VLOOKUP(A148,'1C'!A:T,18,0),IFERROR(VLOOKUP(K148,Colors!D:E,2,0),"")),"")</f>
        <v>черный</v>
      </c>
      <c r="N148" s="147" t="str">
        <f>IF(A148&lt;&gt;"",_xlfn.XLOOKUP(A148,'1C'!A:A,'1C'!I:I,_xlfn.XLOOKUP(C148,'1C'!S:S,'1C'!I:I,"",0),0),"")</f>
        <v>100% хлопок / сетка 100% полиэстер</v>
      </c>
      <c r="O148" s="65"/>
      <c r="P148" s="43" t="str">
        <f>IF(A148&lt;&gt;"",_xlfn.XLOOKUP(A148,'1C'!A:A,'1C'!N:N,_xlfn.XLOOKUP(C148,'1C'!S:S,'1C'!N:N,"",0),0),"")</f>
        <v>хлопковые</v>
      </c>
      <c r="Q148" s="59" t="s">
        <v>15</v>
      </c>
      <c r="R148" s="43" t="str">
        <f>IF(A148&lt;&gt;"",_xlfn.XLOOKUP(A148,'1C'!A:A,'1C'!K:K,_xlfn.XLOOKUP(C148,'1C'!S:S,'1C'!K:K,"",0),0),"")</f>
        <v>Унисекс</v>
      </c>
      <c r="S148" s="44">
        <v>18</v>
      </c>
      <c r="AQ148" s="59">
        <f t="shared" si="1"/>
        <v>18</v>
      </c>
      <c r="AR148" s="43" t="str">
        <f>IF(A148&lt;&gt;"",_xlfn.XLOOKUP(_xlfn.XLOOKUP(A148,'1C'!A:A,'1C'!O:O,_xlfn.XLOOKUP(C148,'1C'!S:S,'1C'!O:O,"",0),0),Settings!N:N,Settings!O:O,"",0),"")</f>
        <v>CN</v>
      </c>
      <c r="AS148" s="56" t="str">
        <f ca="1">IF(BA148&gt;0,_xlfn.XLOOKUP(A148,'1C'!$A:$A,'1C'!P:P,"",0,),IF(AR148&lt;&gt;"",VLOOKUP(AR148,INDIRECT(SUBSTITUTE($J148," ","")&amp;"Manufactures"),3,0),"Требуется код страны"))</f>
        <v>American Needle, Inc; 1275 Busch Parkway, Buffalo Grove, IL 60089, USA</v>
      </c>
      <c r="AT148" s="56" t="str">
        <f ca="1">IF(BA148&gt;0,_xlfn.XLOOKUP(A148,'1C'!$A:$A,'1C'!O:O,"",0),IF(AR148&lt;&gt;"",VLOOKUP(AR148,INDIRECT(SUBSTITUTE($J148," ","")&amp;"Manufactures"),2,0),"Требуется код страны"))</f>
        <v>Китай</v>
      </c>
      <c r="AU148" s="76">
        <f t="shared" si="2"/>
        <v>0.1</v>
      </c>
      <c r="AV148" s="43">
        <f t="shared" si="3"/>
        <v>0.15000000000000002</v>
      </c>
      <c r="AW148" s="43">
        <f t="shared" si="4"/>
        <v>1.8</v>
      </c>
      <c r="AX148" s="43">
        <f t="shared" si="5"/>
        <v>2.7</v>
      </c>
      <c r="AY148" s="155">
        <v>7.2250000000000005</v>
      </c>
      <c r="AZ148" s="156">
        <f t="shared" si="6"/>
        <v>130.05000000000001</v>
      </c>
      <c r="BA148" s="45">
        <f>IF(A148&lt;&gt;"",IF(_xlfn.XLOOKUP(A148,'1C'!A:A,'1C'!A:A,0,0)&gt;0,1,0),"")</f>
        <v>1</v>
      </c>
      <c r="BB148" s="150">
        <f>IF(C148&lt;&gt;"",IF(_xlfn.XLOOKUP(C148,'1C'!S:S,'1C'!S:S,0,0)&gt;0,0,1),"")</f>
        <v>0</v>
      </c>
      <c r="BC148" s="45">
        <f t="shared" si="7"/>
        <v>0</v>
      </c>
    </row>
    <row r="149" spans="1:55" ht="124.7" customHeight="1">
      <c r="A149" s="43" t="str">
        <f t="shared" si="0"/>
        <v>42960B-SBEARchocolate ivory</v>
      </c>
      <c r="B149" s="45" t="str">
        <f>IF(C149&lt;&gt;"",_xlfn.XLOOKUP(A149,'1C'!A:A,'1C'!B:B,MID(_xlfn.XLOOKUP(C149,'1C'!S:S,'1C'!B:B,"new",0),1,7)&amp;IF(BC149=1,IF(L149&lt;&gt;"",_xlfn.XLOOKUP(L149,Colors!A:A,Colors!B:B,"new",0),"требуется цвет"),""),0))</f>
        <v>06-441-14</v>
      </c>
      <c r="C149" s="44" t="s">
        <v>2187</v>
      </c>
      <c r="D149" s="43" t="str">
        <f>VLOOKUP(C149,Names!A:B,2,0)</f>
        <v>Smokey Bear Valin</v>
      </c>
      <c r="E149" s="43" t="str">
        <f>IF(F149&lt;&gt;"",IFERROR(VLOOKUP(F149,Категории!A:B,2,0),""),"Требуется категория")</f>
        <v>Бейсболки</v>
      </c>
      <c r="F149" s="44" t="s">
        <v>356</v>
      </c>
      <c r="G149" s="44" t="s">
        <v>2716</v>
      </c>
      <c r="H149" s="44" t="s">
        <v>388</v>
      </c>
      <c r="J149" s="43" t="str">
        <f>'1C'!$AF$1</f>
        <v>American Needle</v>
      </c>
      <c r="K149" s="104" t="s">
        <v>2293</v>
      </c>
      <c r="L149" s="58" t="s">
        <v>86</v>
      </c>
      <c r="M149" s="66" t="s">
        <v>86</v>
      </c>
      <c r="N149" s="141" t="str">
        <f>Order!B147</f>
        <v>100% Хлопок</v>
      </c>
      <c r="O149" s="65"/>
      <c r="P149" s="44" t="s">
        <v>43</v>
      </c>
      <c r="Q149" s="59" t="s">
        <v>15</v>
      </c>
      <c r="R149" s="58" t="s">
        <v>382</v>
      </c>
      <c r="S149" s="44">
        <v>21</v>
      </c>
      <c r="AQ149" s="59">
        <f t="shared" si="1"/>
        <v>21</v>
      </c>
      <c r="AR149" s="66" t="str">
        <f>Order!A147</f>
        <v>CN</v>
      </c>
      <c r="AS149" s="56" t="str">
        <f ca="1">IF(BA149&gt;0,_xlfn.XLOOKUP(A149,'1C'!$A:$A,'1C'!P:P,"",0,),IF(AR149&lt;&gt;"",VLOOKUP(AR149,INDIRECT(SUBSTITUTE($J149," ","")&amp;"Manufactures"),3,0),"Требуется код страны"))</f>
        <v>American Needle, Inc; 1275 Busch Parkway, Buffalo Grove, IL 60089, USA</v>
      </c>
      <c r="AT149" s="56" t="str">
        <f ca="1">IF(BA149&gt;0,_xlfn.XLOOKUP(A149,'1C'!$A:$A,'1C'!O:O,"",0),IF(AR149&lt;&gt;"",VLOOKUP(AR149,INDIRECT(SUBSTITUTE($J149," ","")&amp;"Manufactures"),2,0),"Требуется код страны"))</f>
        <v>Китай</v>
      </c>
      <c r="AU149" s="76">
        <f t="shared" si="2"/>
        <v>0.1</v>
      </c>
      <c r="AV149" s="43">
        <f t="shared" si="3"/>
        <v>0.15000000000000002</v>
      </c>
      <c r="AW149" s="43">
        <f t="shared" si="4"/>
        <v>2.1</v>
      </c>
      <c r="AX149" s="43">
        <f t="shared" si="5"/>
        <v>3.1500000000000004</v>
      </c>
      <c r="AY149" s="155">
        <v>8.2876190476190477</v>
      </c>
      <c r="AZ149" s="156">
        <f t="shared" si="6"/>
        <v>174.04</v>
      </c>
      <c r="BA149" s="45">
        <f>IF(A149&lt;&gt;"",IF(_xlfn.XLOOKUP(A149,'1C'!A:A,'1C'!A:A,0,0)&gt;0,1,0),"")</f>
        <v>0</v>
      </c>
      <c r="BB149" s="150">
        <f>IF(C149&lt;&gt;"",IF(_xlfn.XLOOKUP(C149,'1C'!S:S,'1C'!S:S,0,0)&gt;0,0,1),"")</f>
        <v>0</v>
      </c>
      <c r="BC149" s="45">
        <f t="shared" si="7"/>
        <v>1</v>
      </c>
    </row>
    <row r="150" spans="1:55" ht="119.65" customHeight="1">
      <c r="A150" s="43" t="str">
        <f t="shared" si="0"/>
        <v>43020A-HAWAbsun</v>
      </c>
      <c r="B150" s="45" t="str">
        <f>IF(C150&lt;&gt;"",_xlfn.XLOOKUP(A150,'1C'!A:A,'1C'!B:B,MID(_xlfn.XLOOKUP(C150,'1C'!S:S,'1C'!B:B,"new",0),1,7)&amp;IF(BC150=1,IF(L150&lt;&gt;"",_xlfn.XLOOKUP(L150,Colors!A:A,Colors!B:B,"new",0),"требуется цвет"),""),0))</f>
        <v>06-058-20</v>
      </c>
      <c r="C150" s="44" t="s">
        <v>2188</v>
      </c>
      <c r="D150" s="43" t="str">
        <f>IF(A150&lt;&gt;"",_xlfn.XLOOKUP(C150,'1C'!S:S,'1C'!T:T,"",0),"")</f>
        <v>Hawaii Ballpark</v>
      </c>
      <c r="E150" s="43" t="str">
        <f>IF(F150&lt;&gt;"",IFERROR(VLOOKUP(F150,Категории!A:B,2,0),""),"Требуется категория")</f>
        <v>Бейсболки</v>
      </c>
      <c r="F150" s="43" t="str">
        <f>IF(A150&lt;&gt;"",IF(BA150&gt;0,_xlfn.XLOOKUP(A150,'1C'!A:A,'1C'!J:J,"",0),_xlfn.XLOOKUP(C150,'1C'!S:S,'1C'!J:J,"",0)),"")</f>
        <v>Бейсболка</v>
      </c>
      <c r="G150" s="43" t="str">
        <f>IF(C150&lt;&gt;"",IF(BA150&gt;0,_xlfn.XLOOKUP(A150,'1C'!A:A,'1C'!L:L,"",0),_xlfn.XLOOKUP(C150,'1C'!S:S,'1C'!L:L,"",0)),"")</f>
        <v>State</v>
      </c>
      <c r="H150" s="43" t="str">
        <f>IF(A150&lt;&gt;"",_xlfn.XLOOKUP(A150,'1C'!A:A,'1C'!M:M,_xlfn.XLOOKUP(C150,'1C'!S:S,'1C'!M:M,"",0),0))</f>
        <v>всесезон</v>
      </c>
      <c r="J150" s="43" t="str">
        <f>'1C'!$AF$1</f>
        <v>American Needle</v>
      </c>
      <c r="K150" s="104" t="s">
        <v>1086</v>
      </c>
      <c r="L150" s="59" t="str">
        <f>IF(K150&lt;&gt;"",IFERROR(VLOOKUP(A150,'1C'!A:T,8,0),IFERROR(VLOOKUP(K150,Colors!D:E,2,0),"")),"")</f>
        <v>желтый</v>
      </c>
      <c r="M150" s="145" t="str">
        <f>IF(K150&lt;&gt;"",IFERROR(VLOOKUP(A150,'1C'!A:T,18,0),IFERROR(VLOOKUP(K150,Colors!D:E,2,0),"")),"")</f>
        <v>желтый</v>
      </c>
      <c r="N150" s="147" t="str">
        <f>IF(A150&lt;&gt;"",_xlfn.XLOOKUP(A150,'1C'!A:A,'1C'!I:I,_xlfn.XLOOKUP(C150,'1C'!S:S,'1C'!I:I,"",0),0),"")</f>
        <v>100% хлопок</v>
      </c>
      <c r="O150" s="65"/>
      <c r="P150" s="43" t="str">
        <f>IF(A150&lt;&gt;"",_xlfn.XLOOKUP(A150,'1C'!A:A,'1C'!N:N,_xlfn.XLOOKUP(C150,'1C'!S:S,'1C'!N:N,"",0),0),"")</f>
        <v>хлопковые</v>
      </c>
      <c r="Q150" s="59" t="s">
        <v>15</v>
      </c>
      <c r="R150" s="43" t="str">
        <f>IF(A150&lt;&gt;"",_xlfn.XLOOKUP(A150,'1C'!A:A,'1C'!K:K,_xlfn.XLOOKUP(C150,'1C'!S:S,'1C'!K:K,"",0),0),"")</f>
        <v>Унисекс</v>
      </c>
      <c r="S150" s="44">
        <v>28</v>
      </c>
      <c r="AQ150" s="59">
        <f t="shared" si="1"/>
        <v>28</v>
      </c>
      <c r="AR150" s="43" t="str">
        <f>IF(A150&lt;&gt;"",_xlfn.XLOOKUP(_xlfn.XLOOKUP(A150,'1C'!A:A,'1C'!O:O,_xlfn.XLOOKUP(C150,'1C'!S:S,'1C'!O:O,"",0),0),Settings!N:N,Settings!O:O,"",0),"")</f>
        <v>BD</v>
      </c>
      <c r="AS150" s="56" t="str">
        <f ca="1">IF(BA150&gt;0,_xlfn.XLOOKUP(A150,'1C'!$A:$A,'1C'!P:P,"",0,),IF(AR150&lt;&gt;"",VLOOKUP(AR150,INDIRECT(SUBSTITUTE($J150," ","")&amp;"Manufactures"),3,0),"Требуется код страны"))</f>
        <v>American Needle, Inc; 1275 Busch Parkway, Buffalo Grove, IL 60089, USA</v>
      </c>
      <c r="AT150" s="56" t="str">
        <f ca="1">IF(BA150&gt;0,_xlfn.XLOOKUP(A150,'1C'!$A:$A,'1C'!O:O,"",0),IF(AR150&lt;&gt;"",VLOOKUP(AR150,INDIRECT(SUBSTITUTE($J150," ","")&amp;"Manufactures"),2,0),"Требуется код страны"))</f>
        <v>Бангладеш</v>
      </c>
      <c r="AU150" s="76">
        <f t="shared" si="2"/>
        <v>0.1</v>
      </c>
      <c r="AV150" s="43">
        <f t="shared" si="3"/>
        <v>0.15000000000000002</v>
      </c>
      <c r="AW150" s="43">
        <f t="shared" si="4"/>
        <v>2.8000000000000003</v>
      </c>
      <c r="AX150" s="43">
        <f t="shared" si="5"/>
        <v>4.2000000000000011</v>
      </c>
      <c r="AY150" s="155">
        <v>5.7374999999999998</v>
      </c>
      <c r="AZ150" s="156">
        <f t="shared" si="6"/>
        <v>160.65</v>
      </c>
      <c r="BA150" s="45">
        <f>IF(A150&lt;&gt;"",IF(_xlfn.XLOOKUP(A150,'1C'!A:A,'1C'!A:A,0,0)&gt;0,1,0),"")</f>
        <v>1</v>
      </c>
      <c r="BB150" s="150">
        <f>IF(C150&lt;&gt;"",IF(_xlfn.XLOOKUP(C150,'1C'!S:S,'1C'!S:S,0,0)&gt;0,0,1),"")</f>
        <v>0</v>
      </c>
      <c r="BC150" s="45">
        <f t="shared" si="7"/>
        <v>0</v>
      </c>
    </row>
    <row r="151" spans="1:55" ht="115.7" customHeight="1">
      <c r="A151" s="43" t="str">
        <f t="shared" si="0"/>
        <v>43020A-MALIred</v>
      </c>
      <c r="B151" s="45" t="str">
        <f>IF(C151&lt;&gt;"",_xlfn.XLOOKUP(A151,'1C'!A:A,'1C'!B:B,MID(_xlfn.XLOOKUP(C151,'1C'!S:S,'1C'!B:B,"new",0),1,7)&amp;IF(BC151=1,IF(L151&lt;&gt;"",_xlfn.XLOOKUP(L151,Colors!A:A,Colors!B:B,"new",0),"требуется цвет"),""),0))</f>
        <v>06-241-18</v>
      </c>
      <c r="C151" s="44" t="s">
        <v>2189</v>
      </c>
      <c r="D151" s="43" t="str">
        <f>IF(A151&lt;&gt;"",_xlfn.XLOOKUP(C151,'1C'!S:S,'1C'!T:T,"",0),"")</f>
        <v>Malibu Ballpark</v>
      </c>
      <c r="E151" s="43" t="str">
        <f>IF(F151&lt;&gt;"",IFERROR(VLOOKUP(F151,Категории!A:B,2,0),""),"Требуется категория")</f>
        <v>Бейсболки</v>
      </c>
      <c r="F151" s="43" t="str">
        <f>IF(A151&lt;&gt;"",IF(BA151&gt;0,_xlfn.XLOOKUP(A151,'1C'!A:A,'1C'!J:J,"",0),_xlfn.XLOOKUP(C151,'1C'!S:S,'1C'!J:J,"",0)),"")</f>
        <v>Бейсболка</v>
      </c>
      <c r="G151" s="43" t="str">
        <f>IF(C151&lt;&gt;"",IF(BA151&gt;0,_xlfn.XLOOKUP(A151,'1C'!A:A,'1C'!L:L,"",0),_xlfn.XLOOKUP(C151,'1C'!S:S,'1C'!L:L,"",0)),"")</f>
        <v>State</v>
      </c>
      <c r="H151" s="43" t="str">
        <f>IF(A151&lt;&gt;"",_xlfn.XLOOKUP(A151,'1C'!A:A,'1C'!M:M,_xlfn.XLOOKUP(C151,'1C'!S:S,'1C'!M:M,"",0),0))</f>
        <v>всесезон</v>
      </c>
      <c r="J151" s="43" t="str">
        <f>'1C'!$AF$1</f>
        <v>American Needle</v>
      </c>
      <c r="K151" s="104" t="s">
        <v>822</v>
      </c>
      <c r="L151" s="59" t="str">
        <f>IF(K151&lt;&gt;"",IFERROR(VLOOKUP(A151,'1C'!A:T,8,0),IFERROR(VLOOKUP(K151,Colors!D:E,2,0),"")),"")</f>
        <v>красный</v>
      </c>
      <c r="M151" s="145" t="str">
        <f>IF(K151&lt;&gt;"",IFERROR(VLOOKUP(A151,'1C'!A:T,18,0),IFERROR(VLOOKUP(K151,Colors!D:E,2,0),"")),"")</f>
        <v>красный</v>
      </c>
      <c r="N151" s="147" t="str">
        <f>IF(A151&lt;&gt;"",_xlfn.XLOOKUP(A151,'1C'!A:A,'1C'!I:I,_xlfn.XLOOKUP(C151,'1C'!S:S,'1C'!I:I,"",0),0),"")</f>
        <v>100% хлопок</v>
      </c>
      <c r="O151" s="65"/>
      <c r="P151" s="43" t="str">
        <f>IF(A151&lt;&gt;"",_xlfn.XLOOKUP(A151,'1C'!A:A,'1C'!N:N,_xlfn.XLOOKUP(C151,'1C'!S:S,'1C'!N:N,"",0),0),"")</f>
        <v>хлопковые</v>
      </c>
      <c r="Q151" s="59" t="s">
        <v>15</v>
      </c>
      <c r="R151" s="43" t="str">
        <f>IF(A151&lt;&gt;"",_xlfn.XLOOKUP(A151,'1C'!A:A,'1C'!K:K,_xlfn.XLOOKUP(C151,'1C'!S:S,'1C'!K:K,"",0),0),"")</f>
        <v>Унисекс</v>
      </c>
      <c r="S151" s="44">
        <v>11</v>
      </c>
      <c r="AQ151" s="59">
        <f t="shared" si="1"/>
        <v>11</v>
      </c>
      <c r="AR151" s="43" t="str">
        <f>IF(A151&lt;&gt;"",_xlfn.XLOOKUP(_xlfn.XLOOKUP(A151,'1C'!A:A,'1C'!O:O,_xlfn.XLOOKUP(C151,'1C'!S:S,'1C'!O:O,"",0),0),Settings!N:N,Settings!O:O,"",0),"")</f>
        <v>BD</v>
      </c>
      <c r="AS151" s="56" t="str">
        <f ca="1">IF(BA151&gt;0,_xlfn.XLOOKUP(A151,'1C'!$A:$A,'1C'!P:P,"",0,),IF(AR151&lt;&gt;"",VLOOKUP(AR151,INDIRECT(SUBSTITUTE($J151," ","")&amp;"Manufactures"),3,0),"Требуется код страны"))</f>
        <v>American Needle, Inc; 1275 Busch Parkway, Buffalo Grove, IL 60089, USA</v>
      </c>
      <c r="AT151" s="56" t="str">
        <f ca="1">IF(BA151&gt;0,_xlfn.XLOOKUP(A151,'1C'!$A:$A,'1C'!O:O,"",0),IF(AR151&lt;&gt;"",VLOOKUP(AR151,INDIRECT(SUBSTITUTE($J151," ","")&amp;"Manufactures"),2,0),"Требуется код страны"))</f>
        <v>Бангладеш</v>
      </c>
      <c r="AU151" s="76">
        <f t="shared" si="2"/>
        <v>0.1</v>
      </c>
      <c r="AV151" s="43">
        <f t="shared" si="3"/>
        <v>0.15000000000000002</v>
      </c>
      <c r="AW151" s="43">
        <f t="shared" si="4"/>
        <v>1.1000000000000001</v>
      </c>
      <c r="AX151" s="43">
        <f t="shared" si="5"/>
        <v>1.6500000000000004</v>
      </c>
      <c r="AY151" s="155">
        <v>5.7372727272727273</v>
      </c>
      <c r="AZ151" s="156">
        <f t="shared" si="6"/>
        <v>63.11</v>
      </c>
      <c r="BA151" s="45">
        <f>IF(A151&lt;&gt;"",IF(_xlfn.XLOOKUP(A151,'1C'!A:A,'1C'!A:A,0,0)&gt;0,1,0),"")</f>
        <v>1</v>
      </c>
      <c r="BB151" s="150">
        <f>IF(C151&lt;&gt;"",IF(_xlfn.XLOOKUP(C151,'1C'!S:S,'1C'!S:S,0,0)&gt;0,0,1),"")</f>
        <v>0</v>
      </c>
      <c r="BC151" s="45">
        <f t="shared" si="7"/>
        <v>0</v>
      </c>
    </row>
    <row r="152" spans="1:55" ht="115.7" customHeight="1">
      <c r="A152" s="43" t="str">
        <f t="shared" si="0"/>
        <v>43020C-NASAnavy</v>
      </c>
      <c r="B152" s="45" t="str">
        <f>IF(C152&lt;&gt;"",_xlfn.XLOOKUP(A152,'1C'!A:A,'1C'!B:B,MID(_xlfn.XLOOKUP(C152,'1C'!S:S,'1C'!B:B,"new",0),1,7)&amp;IF(BC152=1,IF(L152&lt;&gt;"",_xlfn.XLOOKUP(L152,Colors!A:A,Colors!B:B,"new",0),"требуется цвет"),""),0))</f>
        <v>06-442-16</v>
      </c>
      <c r="C152" s="44" t="s">
        <v>2190</v>
      </c>
      <c r="D152" s="43" t="str">
        <f>VLOOKUP(C152,Names!A:B,2,0)</f>
        <v>NASA Ballpark</v>
      </c>
      <c r="E152" s="43" t="str">
        <f>IF(F152&lt;&gt;"",IFERROR(VLOOKUP(F152,Категории!A:B,2,0),""),"Требуется категория")</f>
        <v>Бейсболки</v>
      </c>
      <c r="F152" s="44" t="s">
        <v>327</v>
      </c>
      <c r="G152" s="44" t="s">
        <v>873</v>
      </c>
      <c r="H152" s="44" t="s">
        <v>388</v>
      </c>
      <c r="J152" s="43" t="str">
        <f>'1C'!$AF$1</f>
        <v>American Needle</v>
      </c>
      <c r="K152" s="104" t="s">
        <v>818</v>
      </c>
      <c r="L152" s="59" t="str">
        <f>IF(K152&lt;&gt;"",IFERROR(VLOOKUP(A152,'1C'!A:T,8,0),IFERROR(VLOOKUP(K152,Colors!D:E,2,0),"")),"")</f>
        <v>темно-синий</v>
      </c>
      <c r="M152" s="145" t="str">
        <f>IF(K152&lt;&gt;"",IFERROR(VLOOKUP(A152,'1C'!A:T,18,0),IFERROR(VLOOKUP(K152,Colors!D:E,2,0),"")),"")</f>
        <v>темно-синий</v>
      </c>
      <c r="N152" s="141" t="str">
        <f>Order!B150</f>
        <v>100% Хлопок</v>
      </c>
      <c r="O152" s="65"/>
      <c r="P152" s="44" t="s">
        <v>43</v>
      </c>
      <c r="Q152" s="59" t="s">
        <v>15</v>
      </c>
      <c r="R152" s="58" t="s">
        <v>382</v>
      </c>
      <c r="S152" s="44">
        <v>12</v>
      </c>
      <c r="AQ152" s="59">
        <f t="shared" si="1"/>
        <v>12</v>
      </c>
      <c r="AR152" s="66" t="str">
        <f>Order!A150</f>
        <v>BD</v>
      </c>
      <c r="AS152" s="56" t="str">
        <f ca="1">IF(BA152&gt;0,_xlfn.XLOOKUP(A152,'1C'!$A:$A,'1C'!P:P,"",0,),IF(AR152&lt;&gt;"",VLOOKUP(AR152,INDIRECT(SUBSTITUTE($J152," ","")&amp;"Manufactures"),3,0),"Требуется код страны"))</f>
        <v>American Needle, Inc; 1275 Busch Parkway, Buffalo Grove, IL 60089, USA</v>
      </c>
      <c r="AT152" s="56" t="str">
        <f ca="1">IF(BA152&gt;0,_xlfn.XLOOKUP(A152,'1C'!$A:$A,'1C'!O:O,"",0),IF(AR152&lt;&gt;"",VLOOKUP(AR152,INDIRECT(SUBSTITUTE($J152," ","")&amp;"Manufactures"),2,0),"Требуется код страны"))</f>
        <v>Бангладеш</v>
      </c>
      <c r="AU152" s="76">
        <f t="shared" si="2"/>
        <v>0.1</v>
      </c>
      <c r="AV152" s="43">
        <f t="shared" si="3"/>
        <v>0.15000000000000002</v>
      </c>
      <c r="AW152" s="43">
        <f t="shared" si="4"/>
        <v>1.2000000000000002</v>
      </c>
      <c r="AX152" s="43">
        <f t="shared" si="5"/>
        <v>1.8000000000000003</v>
      </c>
      <c r="AY152" s="155">
        <v>5.7374999999999998</v>
      </c>
      <c r="AZ152" s="156">
        <f t="shared" si="6"/>
        <v>68.849999999999994</v>
      </c>
      <c r="BA152" s="45">
        <f>IF(A152&lt;&gt;"",IF(_xlfn.XLOOKUP(A152,'1C'!A:A,'1C'!A:A,0,0)&gt;0,1,0),"")</f>
        <v>0</v>
      </c>
      <c r="BB152" s="150">
        <f>IF(C152&lt;&gt;"",IF(_xlfn.XLOOKUP(C152,'1C'!S:S,'1C'!S:S,0,0)&gt;0,0,1),"")</f>
        <v>0</v>
      </c>
      <c r="BC152" s="45">
        <f t="shared" si="7"/>
        <v>1</v>
      </c>
    </row>
    <row r="153" spans="1:55" ht="119.65" customHeight="1">
      <c r="A153" s="43" t="str">
        <f t="shared" si="0"/>
        <v>43082A-DRWred-black</v>
      </c>
      <c r="B153" s="45" t="str">
        <f>IF(C153&lt;&gt;"",_xlfn.XLOOKUP(A153,'1C'!A:A,'1C'!B:B,MID(_xlfn.XLOOKUP(C153,'1C'!S:S,'1C'!B:B,"new",0),1,7)&amp;IF(BC153=1,IF(L153&lt;&gt;"",_xlfn.XLOOKUP(L153,Colors!A:A,Colors!B:B,"new",0),"требуется цвет"),""),0))</f>
        <v>06-251-72</v>
      </c>
      <c r="C153" s="44" t="s">
        <v>2191</v>
      </c>
      <c r="D153" s="43" t="str">
        <f>IF(A153&lt;&gt;"",_xlfn.XLOOKUP(C153,'1C'!S:S,'1C'!T:T,"",0),"")</f>
        <v>Detroit Red Wings Dyer NHL</v>
      </c>
      <c r="E153" s="43" t="str">
        <f>IF(F153&lt;&gt;"",IFERROR(VLOOKUP(F153,Категории!A:B,2,0),""),"Требуется категория")</f>
        <v>Бейсболки</v>
      </c>
      <c r="F153" s="43" t="str">
        <f>IF(A153&lt;&gt;"",IF(BA153&gt;0,_xlfn.XLOOKUP(A153,'1C'!A:A,'1C'!J:J,"",0),_xlfn.XLOOKUP(C153,'1C'!S:S,'1C'!J:J,"",0)),"")</f>
        <v>Бейсболка</v>
      </c>
      <c r="G153" s="43" t="str">
        <f>IF(C153&lt;&gt;"",IF(BA153&gt;0,_xlfn.XLOOKUP(A153,'1C'!A:A,'1C'!L:L,"",0),_xlfn.XLOOKUP(C153,'1C'!S:S,'1C'!L:L,"",0)),"")</f>
        <v>Sport</v>
      </c>
      <c r="H153" s="43" t="str">
        <f>IF(A153&lt;&gt;"",_xlfn.XLOOKUP(A153,'1C'!A:A,'1C'!M:M,_xlfn.XLOOKUP(C153,'1C'!S:S,'1C'!M:M,"",0),0))</f>
        <v>всесезон</v>
      </c>
      <c r="J153" s="43" t="str">
        <f>'1C'!$AF$1</f>
        <v>American Needle</v>
      </c>
      <c r="K153" s="104" t="s">
        <v>1646</v>
      </c>
      <c r="L153" s="59" t="str">
        <f>IF(K153&lt;&gt;"",IFERROR(VLOOKUP(A153,'1C'!A:T,8,0),IFERROR(VLOOKUP(K153,Colors!D:E,2,0),"")),"")</f>
        <v>красный / черный</v>
      </c>
      <c r="M153" s="145" t="str">
        <f>IF(K153&lt;&gt;"",IFERROR(VLOOKUP(A153,'1C'!A:T,18,0),IFERROR(VLOOKUP(K153,Colors!D:E,2,0),"")),"")</f>
        <v>красный</v>
      </c>
      <c r="N153" s="147" t="str">
        <f>IF(A153&lt;&gt;"",_xlfn.XLOOKUP(A153,'1C'!A:A,'1C'!I:I,_xlfn.XLOOKUP(C153,'1C'!S:S,'1C'!I:I,"",0),0),"")</f>
        <v>100% хлопок</v>
      </c>
      <c r="O153" s="65"/>
      <c r="P153" s="43" t="str">
        <f>IF(A153&lt;&gt;"",_xlfn.XLOOKUP(A153,'1C'!A:A,'1C'!N:N,_xlfn.XLOOKUP(C153,'1C'!S:S,'1C'!N:N,"",0),0),"")</f>
        <v>хлопковые</v>
      </c>
      <c r="Q153" s="59" t="s">
        <v>15</v>
      </c>
      <c r="R153" s="43" t="str">
        <f>IF(A153&lt;&gt;"",_xlfn.XLOOKUP(A153,'1C'!A:A,'1C'!K:K,_xlfn.XLOOKUP(C153,'1C'!S:S,'1C'!K:K,"",0),0),"")</f>
        <v>Унисекс</v>
      </c>
      <c r="S153" s="44">
        <v>17</v>
      </c>
      <c r="AQ153" s="59">
        <f t="shared" si="1"/>
        <v>17</v>
      </c>
      <c r="AR153" s="43" t="str">
        <f>IF(A153&lt;&gt;"",_xlfn.XLOOKUP(_xlfn.XLOOKUP(A153,'1C'!A:A,'1C'!O:O,_xlfn.XLOOKUP(C153,'1C'!S:S,'1C'!O:O,"",0),0),Settings!N:N,Settings!O:O,"",0),"")</f>
        <v>BD</v>
      </c>
      <c r="AS153" s="56" t="str">
        <f ca="1">IF(BA153&gt;0,_xlfn.XLOOKUP(A153,'1C'!$A:$A,'1C'!P:P,"",0,),IF(AR153&lt;&gt;"",VLOOKUP(AR153,INDIRECT(SUBSTITUTE($J153," ","")&amp;"Manufactures"),3,0),"Требуется код страны"))</f>
        <v>American Needle, Inc; 1275 Busch Parkway, Buffalo Grove, IL 60089, USA</v>
      </c>
      <c r="AT153" s="56" t="str">
        <f ca="1">IF(BA153&gt;0,_xlfn.XLOOKUP(A153,'1C'!$A:$A,'1C'!O:O,"",0),IF(AR153&lt;&gt;"",VLOOKUP(AR153,INDIRECT(SUBSTITUTE($J153," ","")&amp;"Manufactures"),2,0),"Требуется код страны"))</f>
        <v>Бангладеш</v>
      </c>
      <c r="AU153" s="76">
        <f t="shared" si="2"/>
        <v>0.1</v>
      </c>
      <c r="AV153" s="43">
        <f t="shared" si="3"/>
        <v>0.15000000000000002</v>
      </c>
      <c r="AW153" s="43">
        <f t="shared" si="4"/>
        <v>1.7000000000000002</v>
      </c>
      <c r="AX153" s="43">
        <f t="shared" si="5"/>
        <v>2.5500000000000003</v>
      </c>
      <c r="AY153" s="155">
        <v>9.5623529411764707</v>
      </c>
      <c r="AZ153" s="156">
        <f t="shared" si="6"/>
        <v>162.56</v>
      </c>
      <c r="BA153" s="45">
        <f>IF(A153&lt;&gt;"",IF(_xlfn.XLOOKUP(A153,'1C'!A:A,'1C'!A:A,0,0)&gt;0,1,0),"")</f>
        <v>1</v>
      </c>
      <c r="BB153" s="150">
        <f>IF(C153&lt;&gt;"",IF(_xlfn.XLOOKUP(C153,'1C'!S:S,'1C'!S:S,0,0)&gt;0,0,1),"")</f>
        <v>0</v>
      </c>
      <c r="BC153" s="45">
        <f t="shared" si="7"/>
        <v>0</v>
      </c>
    </row>
    <row r="154" spans="1:55" ht="118.9" customHeight="1">
      <c r="A154" s="43" t="str">
        <f t="shared" si="0"/>
        <v>43260A-CALIblack</v>
      </c>
      <c r="B154" s="45" t="str">
        <f>IF(C154&lt;&gt;"",_xlfn.XLOOKUP(A154,'1C'!A:A,'1C'!B:B,MID(_xlfn.XLOOKUP(C154,'1C'!S:S,'1C'!B:B,"new",0),1,7)&amp;IF(BC154=1,IF(L154&lt;&gt;"",_xlfn.XLOOKUP(L154,Colors!A:A,Colors!B:B,"new",0),"требуется цвет"),""),0))</f>
        <v>06-443-09</v>
      </c>
      <c r="C154" s="44" t="s">
        <v>2192</v>
      </c>
      <c r="D154" s="43" t="str">
        <f>VLOOKUP(C154,Names!A:B,2,0)</f>
        <v>CALI Badger</v>
      </c>
      <c r="E154" s="43" t="str">
        <f>IF(F154&lt;&gt;"",IFERROR(VLOOKUP(F154,Категории!A:B,2,0),""),"Требуется категория")</f>
        <v>Бейсболки</v>
      </c>
      <c r="F154" s="44" t="s">
        <v>2316</v>
      </c>
      <c r="G154" s="44" t="s">
        <v>880</v>
      </c>
      <c r="H154" s="44" t="s">
        <v>388</v>
      </c>
      <c r="J154" s="43" t="str">
        <f>'1C'!$AF$1</f>
        <v>American Needle</v>
      </c>
      <c r="K154" s="104" t="s">
        <v>819</v>
      </c>
      <c r="L154" s="59" t="str">
        <f>IF(K154&lt;&gt;"",IFERROR(VLOOKUP(A154,'1C'!A:T,8,0),IFERROR(VLOOKUP(K154,Colors!D:E,2,0),"")),"")</f>
        <v>черный</v>
      </c>
      <c r="M154" s="59" t="str">
        <f>IF(K154&lt;&gt;"",IFERROR(VLOOKUP(A154,'1C'!A:T,18,0),IFERROR(VLOOKUP(K154,Colors!D:E,2,0),"")),"")</f>
        <v>черный</v>
      </c>
      <c r="N154" s="141" t="str">
        <f>Order!B152</f>
        <v>100% Хлопок</v>
      </c>
      <c r="P154" s="44" t="s">
        <v>43</v>
      </c>
      <c r="Q154" s="59" t="s">
        <v>15</v>
      </c>
      <c r="R154" s="58" t="s">
        <v>382</v>
      </c>
      <c r="S154" s="44">
        <v>24</v>
      </c>
      <c r="AQ154" s="59">
        <f t="shared" si="1"/>
        <v>24</v>
      </c>
      <c r="AR154" s="66" t="str">
        <f>Order!A152</f>
        <v>BD</v>
      </c>
      <c r="AS154" s="56" t="str">
        <f ca="1">IF(BA154&gt;0,_xlfn.XLOOKUP(A154,'1C'!$A:$A,'1C'!P:P,"",0,),IF(AR154&lt;&gt;"",VLOOKUP(AR154,INDIRECT(SUBSTITUTE($J154," ","")&amp;"Manufactures"),3,0),"Требуется код страны"))</f>
        <v>American Needle, Inc; 1275 Busch Parkway, Buffalo Grove, IL 60089, USA</v>
      </c>
      <c r="AT154" s="56" t="str">
        <f ca="1">IF(BA154&gt;0,_xlfn.XLOOKUP(A154,'1C'!$A:$A,'1C'!O:O,"",0),IF(AR154&lt;&gt;"",VLOOKUP(AR154,INDIRECT(SUBSTITUTE($J154," ","")&amp;"Manufactures"),2,0),"Требуется код страны"))</f>
        <v>Бангладеш</v>
      </c>
      <c r="AU154" s="76">
        <f t="shared" si="2"/>
        <v>0.1</v>
      </c>
      <c r="AV154" s="43">
        <f t="shared" si="3"/>
        <v>0.15000000000000002</v>
      </c>
      <c r="AW154" s="43">
        <f t="shared" si="4"/>
        <v>2.4000000000000004</v>
      </c>
      <c r="AX154" s="43">
        <f t="shared" si="5"/>
        <v>3.6000000000000005</v>
      </c>
      <c r="AY154" s="155">
        <v>7.2250000000000005</v>
      </c>
      <c r="AZ154" s="156">
        <f t="shared" si="6"/>
        <v>173.4</v>
      </c>
      <c r="BA154" s="45">
        <f>IF(A154&lt;&gt;"",IF(_xlfn.XLOOKUP(A154,'1C'!A:A,'1C'!A:A,0,0)&gt;0,1,0),"")</f>
        <v>0</v>
      </c>
      <c r="BB154" s="150">
        <f>IF(C154&lt;&gt;"",IF(_xlfn.XLOOKUP(C154,'1C'!S:S,'1C'!S:S,0,0)&gt;0,0,1),"")</f>
        <v>0</v>
      </c>
      <c r="BC154" s="45">
        <f t="shared" si="7"/>
        <v>1</v>
      </c>
    </row>
    <row r="155" spans="1:55" ht="119.65" customHeight="1">
      <c r="A155" s="43" t="str">
        <f t="shared" si="0"/>
        <v>43622A-VGKblk</v>
      </c>
      <c r="B155" s="45" t="str">
        <f>IF(C155&lt;&gt;"",_xlfn.XLOOKUP(A155,'1C'!A:A,'1C'!B:B,MID(_xlfn.XLOOKUP(C155,'1C'!S:S,'1C'!B:B,"new",0),1,7)&amp;IF(BC155=1,IF(L155&lt;&gt;"",_xlfn.XLOOKUP(L155,Colors!A:A,Colors!B:B,"new",0),"требуется цвет"),""),0))</f>
        <v>06-068-09</v>
      </c>
      <c r="C155" s="44" t="s">
        <v>2193</v>
      </c>
      <c r="D155" s="43" t="str">
        <f>IF(A155&lt;&gt;"",_xlfn.XLOOKUP(C155,'1C'!S:S,'1C'!T:T,"",0),"")</f>
        <v>Vegas Golden Knights NHL</v>
      </c>
      <c r="E155" s="43" t="str">
        <f>IF(F155&lt;&gt;"",IFERROR(VLOOKUP(F155,Категории!A:B,2,0),""),"Требуется категория")</f>
        <v>Бейсболки</v>
      </c>
      <c r="F155" s="43" t="str">
        <f>IF(A155&lt;&gt;"",IF(BA155&gt;0,_xlfn.XLOOKUP(A155,'1C'!A:A,'1C'!J:J,"",0),_xlfn.XLOOKUP(C155,'1C'!S:S,'1C'!J:J,"",0)),"")</f>
        <v>Бейсболка</v>
      </c>
      <c r="G155" s="43" t="str">
        <f>IF(C155&lt;&gt;"",IF(BA155&gt;0,_xlfn.XLOOKUP(A155,'1C'!A:A,'1C'!L:L,"",0),_xlfn.XLOOKUP(C155,'1C'!S:S,'1C'!L:L,"",0)),"")</f>
        <v>AMERICAN NEEDLE-Sport</v>
      </c>
      <c r="H155" s="43" t="str">
        <f>IF(A155&lt;&gt;"",_xlfn.XLOOKUP(A155,'1C'!A:A,'1C'!M:M,_xlfn.XLOOKUP(C155,'1C'!S:S,'1C'!M:M,"",0),0))</f>
        <v>всесезон</v>
      </c>
      <c r="J155" s="43" t="str">
        <f>'1C'!$AF$1</f>
        <v>American Needle</v>
      </c>
      <c r="K155" s="104" t="s">
        <v>843</v>
      </c>
      <c r="L155" s="59" t="str">
        <f>IF(K155&lt;&gt;"",IFERROR(VLOOKUP(A155,'1C'!A:T,8,0),IFERROR(VLOOKUP(K155,Colors!D:E,2,0),"")),"")</f>
        <v>черный</v>
      </c>
      <c r="M155" s="59" t="str">
        <f>IF(K155&lt;&gt;"",IFERROR(VLOOKUP(A155,'1C'!A:T,18,0),IFERROR(VLOOKUP(K155,Colors!D:E,2,0),"")),"")</f>
        <v>черный</v>
      </c>
      <c r="N155" s="147" t="str">
        <f>IF(A155&lt;&gt;"",_xlfn.XLOOKUP(A155,'1C'!A:A,'1C'!I:I,_xlfn.XLOOKUP(C155,'1C'!S:S,'1C'!I:I,"",0),0),"")</f>
        <v>100% хлопок</v>
      </c>
      <c r="P155" s="43" t="str">
        <f>IF(A155&lt;&gt;"",_xlfn.XLOOKUP(A155,'1C'!A:A,'1C'!N:N,_xlfn.XLOOKUP(C155,'1C'!S:S,'1C'!N:N,"",0),0),"")</f>
        <v>хлопковые</v>
      </c>
      <c r="Q155" s="59" t="s">
        <v>15</v>
      </c>
      <c r="R155" s="43" t="str">
        <f>IF(A155&lt;&gt;"",_xlfn.XLOOKUP(A155,'1C'!A:A,'1C'!K:K,_xlfn.XLOOKUP(C155,'1C'!S:S,'1C'!K:K,"",0),0),"")</f>
        <v>Унисекс</v>
      </c>
      <c r="S155" s="44">
        <v>40</v>
      </c>
      <c r="AQ155" s="59">
        <f t="shared" si="1"/>
        <v>40</v>
      </c>
      <c r="AR155" s="43" t="str">
        <f>IF(A155&lt;&gt;"",_xlfn.XLOOKUP(_xlfn.XLOOKUP(A155,'1C'!A:A,'1C'!O:O,_xlfn.XLOOKUP(C155,'1C'!S:S,'1C'!O:O,"",0),0),Settings!N:N,Settings!O:O,"",0),"")</f>
        <v>BD</v>
      </c>
      <c r="AS155" s="56" t="str">
        <f ca="1">IF(BA155&gt;0,_xlfn.XLOOKUP(A155,'1C'!$A:$A,'1C'!P:P,"",0,),IF(AR155&lt;&gt;"",VLOOKUP(AR155,INDIRECT(SUBSTITUTE($J155," ","")&amp;"Manufactures"),3,0),"Требуется код страны"))</f>
        <v>American Needle, Inc; 1275 Busch Parkway, Buffalo Grove, IL 60089, USA</v>
      </c>
      <c r="AT155" s="56" t="str">
        <f ca="1">IF(BA155&gt;0,_xlfn.XLOOKUP(A155,'1C'!$A:$A,'1C'!O:O,"",0),IF(AR155&lt;&gt;"",VLOOKUP(AR155,INDIRECT(SUBSTITUTE($J155," ","")&amp;"Manufactures"),2,0),"Требуется код страны"))</f>
        <v>Бангладеш</v>
      </c>
      <c r="AU155" s="76">
        <f t="shared" si="2"/>
        <v>0.1</v>
      </c>
      <c r="AV155" s="43">
        <f t="shared" si="3"/>
        <v>0.15000000000000002</v>
      </c>
      <c r="AW155" s="43">
        <f t="shared" si="4"/>
        <v>4</v>
      </c>
      <c r="AX155" s="43">
        <f t="shared" si="5"/>
        <v>6.0000000000000009</v>
      </c>
      <c r="AY155" s="155">
        <v>8.9250000000000007</v>
      </c>
      <c r="AZ155" s="156">
        <f t="shared" si="6"/>
        <v>357</v>
      </c>
      <c r="BA155" s="45">
        <f>IF(A155&lt;&gt;"",IF(_xlfn.XLOOKUP(A155,'1C'!A:A,'1C'!A:A,0,0)&gt;0,1,0),"")</f>
        <v>1</v>
      </c>
      <c r="BB155" s="150">
        <f>IF(C155&lt;&gt;"",IF(_xlfn.XLOOKUP(C155,'1C'!S:S,'1C'!S:S,0,0)&gt;0,0,1),"")</f>
        <v>0</v>
      </c>
      <c r="BC155" s="45">
        <f t="shared" si="7"/>
        <v>0</v>
      </c>
    </row>
    <row r="156" spans="1:55" ht="108.4" customHeight="1">
      <c r="A156" s="43" t="str">
        <f t="shared" si="0"/>
        <v>43692A-NHLblack-camo</v>
      </c>
      <c r="B156" s="45" t="str">
        <f>IF(C156&lt;&gt;"",_xlfn.XLOOKUP(A156,'1C'!A:A,'1C'!B:B,MID(_xlfn.XLOOKUP(C156,'1C'!S:S,'1C'!B:B,"new",0),1,7)&amp;IF(BC156=1,IF(L156&lt;&gt;"",_xlfn.XLOOKUP(L156,Colors!A:A,Colors!B:B,"new",0),"требуется цвет"),""),0))</f>
        <v>06-277-75</v>
      </c>
      <c r="C156" s="44" t="s">
        <v>2194</v>
      </c>
      <c r="D156" s="43" t="str">
        <f>IF(A156&lt;&gt;"",_xlfn.XLOOKUP(C156,'1C'!S:S,'1C'!T:T,"",0),"")</f>
        <v>Original 6 Sundown NHL</v>
      </c>
      <c r="E156" s="43" t="str">
        <f>IF(F156&lt;&gt;"",IFERROR(VLOOKUP(F156,Категории!A:B,2,0),""),"Требуется категория")</f>
        <v>Бейсболки</v>
      </c>
      <c r="F156" s="43" t="str">
        <f>IF(A156&lt;&gt;"",IF(BA156&gt;0,_xlfn.XLOOKUP(A156,'1C'!A:A,'1C'!J:J,"",0),_xlfn.XLOOKUP(C156,'1C'!S:S,'1C'!J:J,"",0)),"")</f>
        <v>Бейсболка с прямым козырьком</v>
      </c>
      <c r="G156" s="43" t="str">
        <f>IF(C156&lt;&gt;"",IF(BA156&gt;0,_xlfn.XLOOKUP(A156,'1C'!A:A,'1C'!L:L,"",0),_xlfn.XLOOKUP(C156,'1C'!S:S,'1C'!L:L,"",0)),"")</f>
        <v>Sport</v>
      </c>
      <c r="H156" s="43" t="str">
        <f>IF(A156&lt;&gt;"",_xlfn.XLOOKUP(A156,'1C'!A:A,'1C'!M:M,_xlfn.XLOOKUP(C156,'1C'!S:S,'1C'!M:M,"",0),0))</f>
        <v>всесезон</v>
      </c>
      <c r="J156" s="43" t="str">
        <f>'1C'!$AF$1</f>
        <v>American Needle</v>
      </c>
      <c r="K156" s="104" t="s">
        <v>1853</v>
      </c>
      <c r="L156" s="59" t="str">
        <f>IF(K156&lt;&gt;"",IFERROR(VLOOKUP(A156,'1C'!A:T,8,0),IFERROR(VLOOKUP(K156,Colors!D:E,2,0),"")),"")</f>
        <v>черный / камуфляж</v>
      </c>
      <c r="M156" s="59" t="str">
        <f>IF(K156&lt;&gt;"",IFERROR(VLOOKUP(A156,'1C'!A:T,18,0),IFERROR(VLOOKUP(K156,Colors!D:E,2,0),"")),"")</f>
        <v>черный</v>
      </c>
      <c r="N156" s="147" t="str">
        <f>IF(A156&lt;&gt;"",_xlfn.XLOOKUP(A156,'1C'!A:A,'1C'!I:I,_xlfn.XLOOKUP(C156,'1C'!S:S,'1C'!I:I,"",0),0),"")</f>
        <v>80% акрил - 20% шерсть</v>
      </c>
      <c r="P156" s="43" t="str">
        <f>IF(A156&lt;&gt;"",_xlfn.XLOOKUP(A156,'1C'!A:A,'1C'!N:N,_xlfn.XLOOKUP(C156,'1C'!S:S,'1C'!N:N,"",0),0),"")</f>
        <v>шерстяные</v>
      </c>
      <c r="Q156" s="59" t="s">
        <v>15</v>
      </c>
      <c r="R156" s="43" t="str">
        <f>IF(A156&lt;&gt;"",_xlfn.XLOOKUP(A156,'1C'!A:A,'1C'!K:K,_xlfn.XLOOKUP(C156,'1C'!S:S,'1C'!K:K,"",0),0),"")</f>
        <v>Унисекс</v>
      </c>
      <c r="S156" s="44">
        <v>12</v>
      </c>
      <c r="AQ156" s="59">
        <f t="shared" si="1"/>
        <v>12</v>
      </c>
      <c r="AR156" s="43" t="str">
        <f>IF(A156&lt;&gt;"",_xlfn.XLOOKUP(_xlfn.XLOOKUP(A156,'1C'!A:A,'1C'!O:O,_xlfn.XLOOKUP(C156,'1C'!S:S,'1C'!O:O,"",0),0),Settings!N:N,Settings!O:O,"",0),"")</f>
        <v>BD</v>
      </c>
      <c r="AS156" s="56" t="str">
        <f ca="1">IF(BA156&gt;0,_xlfn.XLOOKUP(A156,'1C'!$A:$A,'1C'!P:P,"",0,),IF(AR156&lt;&gt;"",VLOOKUP(AR156,INDIRECT(SUBSTITUTE($J156," ","")&amp;"Manufactures"),3,0),"Требуется код страны"))</f>
        <v>American Needle, Inc; 1275 Busch Parkway, Buffalo Grove, IL 60089, USA</v>
      </c>
      <c r="AT156" s="56" t="str">
        <f ca="1">IF(BA156&gt;0,_xlfn.XLOOKUP(A156,'1C'!$A:$A,'1C'!O:O,"",0),IF(AR156&lt;&gt;"",VLOOKUP(AR156,INDIRECT(SUBSTITUTE($J156," ","")&amp;"Manufactures"),2,0),"Требуется код страны"))</f>
        <v>Бангладеш</v>
      </c>
      <c r="AU156" s="76">
        <f t="shared" si="2"/>
        <v>0.1</v>
      </c>
      <c r="AV156" s="43">
        <f t="shared" si="3"/>
        <v>0.15000000000000002</v>
      </c>
      <c r="AW156" s="43">
        <f t="shared" si="4"/>
        <v>1.2000000000000002</v>
      </c>
      <c r="AX156" s="43">
        <f t="shared" si="5"/>
        <v>1.8000000000000003</v>
      </c>
      <c r="AY156" s="155">
        <v>9.7750000000000004</v>
      </c>
      <c r="AZ156" s="156">
        <f t="shared" si="6"/>
        <v>117.30000000000001</v>
      </c>
      <c r="BA156" s="45">
        <f>IF(A156&lt;&gt;"",IF(_xlfn.XLOOKUP(A156,'1C'!A:A,'1C'!A:A,0,0)&gt;0,1,0),"")</f>
        <v>1</v>
      </c>
      <c r="BB156" s="150">
        <f>IF(C156&lt;&gt;"",IF(_xlfn.XLOOKUP(C156,'1C'!S:S,'1C'!S:S,0,0)&gt;0,0,1),"")</f>
        <v>0</v>
      </c>
      <c r="BC156" s="45">
        <f t="shared" si="7"/>
        <v>0</v>
      </c>
    </row>
    <row r="157" spans="1:55" ht="120.6" customHeight="1">
      <c r="A157" s="43" t="str">
        <f t="shared" si="0"/>
        <v>43870A-CALIblk</v>
      </c>
      <c r="B157" s="45" t="str">
        <f>IF(C157&lt;&gt;"",_xlfn.XLOOKUP(A157,'1C'!A:A,'1C'!B:B,MID(_xlfn.XLOOKUP(C157,'1C'!S:S,'1C'!B:B,"new",0),1,7)&amp;IF(BC157=1,IF(L157&lt;&gt;"",_xlfn.XLOOKUP(L157,Colors!A:A,Colors!B:B,"new",0),"требуется цвет"),""),0))</f>
        <v>06-074-09</v>
      </c>
      <c r="C157" s="44" t="s">
        <v>2195</v>
      </c>
      <c r="D157" s="43" t="str">
        <f>IF(A157&lt;&gt;"",_xlfn.XLOOKUP(C157,'1C'!S:S,'1C'!T:T,"",0),"")</f>
        <v>California</v>
      </c>
      <c r="E157" s="43" t="str">
        <f>IF(F157&lt;&gt;"",IFERROR(VLOOKUP(F157,Категории!A:B,2,0),""),"Требуется категория")</f>
        <v>Бейсболки</v>
      </c>
      <c r="F157" s="43" t="str">
        <f>IF(A157&lt;&gt;"",IF(BA157&gt;0,_xlfn.XLOOKUP(A157,'1C'!A:A,'1C'!J:J,"",0),_xlfn.XLOOKUP(C157,'1C'!S:S,'1C'!J:J,"",0)),"")</f>
        <v>Бейсболка</v>
      </c>
      <c r="G157" s="43" t="str">
        <f>IF(C157&lt;&gt;"",IF(BA157&gt;0,_xlfn.XLOOKUP(A157,'1C'!A:A,'1C'!L:L,"",0),_xlfn.XLOOKUP(C157,'1C'!S:S,'1C'!L:L,"",0)),"")</f>
        <v>AMERICAN NEEDLE-State</v>
      </c>
      <c r="H157" s="43" t="str">
        <f>IF(A157&lt;&gt;"",_xlfn.XLOOKUP(A157,'1C'!A:A,'1C'!M:M,_xlfn.XLOOKUP(C157,'1C'!S:S,'1C'!M:M,"",0),0))</f>
        <v>всесезон</v>
      </c>
      <c r="J157" s="43" t="str">
        <f>'1C'!$AF$1</f>
        <v>American Needle</v>
      </c>
      <c r="K157" s="104" t="s">
        <v>843</v>
      </c>
      <c r="L157" s="59" t="str">
        <f>IF(K157&lt;&gt;"",IFERROR(VLOOKUP(A157,'1C'!A:T,8,0),IFERROR(VLOOKUP(K157,Colors!D:E,2,0),"")),"")</f>
        <v>черный</v>
      </c>
      <c r="M157" s="59" t="str">
        <f>IF(K157&lt;&gt;"",IFERROR(VLOOKUP(A157,'1C'!A:T,18,0),IFERROR(VLOOKUP(K157,Colors!D:E,2,0),"")),"")</f>
        <v>черный</v>
      </c>
      <c r="N157" s="147" t="str">
        <f>IF(A157&lt;&gt;"",_xlfn.XLOOKUP(A157,'1C'!A:A,'1C'!I:I,_xlfn.XLOOKUP(C157,'1C'!S:S,'1C'!I:I,"",0),0),"")</f>
        <v>100% хлопок</v>
      </c>
      <c r="P157" s="43" t="str">
        <f>IF(A157&lt;&gt;"",_xlfn.XLOOKUP(A157,'1C'!A:A,'1C'!N:N,_xlfn.XLOOKUP(C157,'1C'!S:S,'1C'!N:N,"",0),0),"")</f>
        <v>хлопковые</v>
      </c>
      <c r="Q157" s="59" t="s">
        <v>15</v>
      </c>
      <c r="R157" s="43" t="str">
        <f>IF(A157&lt;&gt;"",_xlfn.XLOOKUP(A157,'1C'!A:A,'1C'!K:K,_xlfn.XLOOKUP(C157,'1C'!S:S,'1C'!K:K,"",0),0),"")</f>
        <v>Унисекс</v>
      </c>
      <c r="S157" s="44">
        <v>12</v>
      </c>
      <c r="AQ157" s="59">
        <f t="shared" si="1"/>
        <v>12</v>
      </c>
      <c r="AR157" s="43" t="str">
        <f>IF(A157&lt;&gt;"",_xlfn.XLOOKUP(_xlfn.XLOOKUP(A157,'1C'!A:A,'1C'!O:O,_xlfn.XLOOKUP(C157,'1C'!S:S,'1C'!O:O,"",0),0),Settings!N:N,Settings!O:O,"",0),"")</f>
        <v>CN</v>
      </c>
      <c r="AS157" s="56" t="str">
        <f ca="1">IF(BA157&gt;0,_xlfn.XLOOKUP(A157,'1C'!$A:$A,'1C'!P:P,"",0,),IF(AR157&lt;&gt;"",VLOOKUP(AR157,INDIRECT(SUBSTITUTE($J157," ","")&amp;"Manufactures"),3,0),"Требуется код страны"))</f>
        <v>American Needle, Inc; 1275 Busch Parkway, Buffalo Grove, IL 60089, USA</v>
      </c>
      <c r="AT157" s="56" t="str">
        <f ca="1">IF(BA157&gt;0,_xlfn.XLOOKUP(A157,'1C'!$A:$A,'1C'!O:O,"",0),IF(AR157&lt;&gt;"",VLOOKUP(AR157,INDIRECT(SUBSTITUTE($J157," ","")&amp;"Manufactures"),2,0),"Требуется код страны"))</f>
        <v>Китай</v>
      </c>
      <c r="AU157" s="76">
        <f t="shared" si="2"/>
        <v>0.1</v>
      </c>
      <c r="AV157" s="43">
        <f t="shared" si="3"/>
        <v>0.15000000000000002</v>
      </c>
      <c r="AW157" s="43">
        <f t="shared" si="4"/>
        <v>1.2000000000000002</v>
      </c>
      <c r="AX157" s="43">
        <f t="shared" si="5"/>
        <v>1.8000000000000003</v>
      </c>
      <c r="AY157" s="155">
        <v>7.6499999999999995</v>
      </c>
      <c r="AZ157" s="156">
        <f t="shared" si="6"/>
        <v>91.8</v>
      </c>
      <c r="BA157" s="45">
        <f>IF(A157&lt;&gt;"",IF(_xlfn.XLOOKUP(A157,'1C'!A:A,'1C'!A:A,0,0)&gt;0,1,0),"")</f>
        <v>1</v>
      </c>
      <c r="BB157" s="150">
        <f>IF(C157&lt;&gt;"",IF(_xlfn.XLOOKUP(C157,'1C'!S:S,'1C'!S:S,0,0)&gt;0,0,1),"")</f>
        <v>0</v>
      </c>
      <c r="BC157" s="45">
        <f t="shared" si="7"/>
        <v>0</v>
      </c>
    </row>
    <row r="158" spans="1:55" ht="137.1" customHeight="1">
      <c r="A158" s="43" t="str">
        <f t="shared" si="0"/>
        <v>43870A-HTIblack</v>
      </c>
      <c r="B158" s="45" t="str">
        <f>IF(C158&lt;&gt;"",_xlfn.XLOOKUP(A158,'1C'!A:A,'1C'!B:B,MID(_xlfn.XLOOKUP(C158,'1C'!S:S,'1C'!B:B,"new",0),1,7)&amp;IF(BC158=1,IF(L158&lt;&gt;"",_xlfn.XLOOKUP(L158,Colors!A:A,Colors!B:B,"new",0),"требуется цвет"),""),0))</f>
        <v>06-444-09</v>
      </c>
      <c r="C158" s="44" t="s">
        <v>2196</v>
      </c>
      <c r="D158" s="43" t="str">
        <f>VLOOKUP(C158,Names!A:B,2,0)</f>
        <v>HANSHIN TIGERS Hepcat</v>
      </c>
      <c r="E158" s="43" t="str">
        <f>IF(F158&lt;&gt;"",IFERROR(VLOOKUP(F158,Категории!A:B,2,0),""),"Требуется категория")</f>
        <v>Бейсболки</v>
      </c>
      <c r="F158" s="44" t="s">
        <v>2315</v>
      </c>
      <c r="G158" s="44" t="s">
        <v>884</v>
      </c>
      <c r="H158" s="44" t="s">
        <v>388</v>
      </c>
      <c r="J158" s="43" t="str">
        <f>'1C'!$AF$1</f>
        <v>American Needle</v>
      </c>
      <c r="K158" s="104" t="s">
        <v>819</v>
      </c>
      <c r="L158" s="59" t="str">
        <f>IF(K158&lt;&gt;"",IFERROR(VLOOKUP(A158,'1C'!A:T,8,0),IFERROR(VLOOKUP(K158,Colors!D:E,2,0),"")),"")</f>
        <v>черный</v>
      </c>
      <c r="M158" s="59" t="str">
        <f>IF(K158&lt;&gt;"",IFERROR(VLOOKUP(A158,'1C'!A:T,18,0),IFERROR(VLOOKUP(K158,Colors!D:E,2,0),"")),"")</f>
        <v>черный</v>
      </c>
      <c r="N158" s="141" t="str">
        <f>Order!B156</f>
        <v>100% Хлопок</v>
      </c>
      <c r="P158" s="44" t="s">
        <v>43</v>
      </c>
      <c r="Q158" s="59" t="s">
        <v>15</v>
      </c>
      <c r="R158" s="58" t="s">
        <v>382</v>
      </c>
      <c r="S158" s="44">
        <v>29</v>
      </c>
      <c r="AQ158" s="59">
        <f t="shared" si="1"/>
        <v>29</v>
      </c>
      <c r="AR158" s="66" t="str">
        <f>Order!A156</f>
        <v>CN</v>
      </c>
      <c r="AS158" s="56" t="str">
        <f ca="1">IF(BA158&gt;0,_xlfn.XLOOKUP(A158,'1C'!$A:$A,'1C'!P:P,"",0,),IF(AR158&lt;&gt;"",VLOOKUP(AR158,INDIRECT(SUBSTITUTE($J158," ","")&amp;"Manufactures"),3,0),"Требуется код страны"))</f>
        <v>American Needle, Inc; 1275 Busch Parkway, Buffalo Grove, IL 60089, USA</v>
      </c>
      <c r="AT158" s="56" t="str">
        <f ca="1">IF(BA158&gt;0,_xlfn.XLOOKUP(A158,'1C'!$A:$A,'1C'!O:O,"",0),IF(AR158&lt;&gt;"",VLOOKUP(AR158,INDIRECT(SUBSTITUTE($J158," ","")&amp;"Manufactures"),2,0),"Требуется код страны"))</f>
        <v>Китай</v>
      </c>
      <c r="AU158" s="76">
        <f t="shared" si="2"/>
        <v>0.1</v>
      </c>
      <c r="AV158" s="43">
        <f t="shared" si="3"/>
        <v>0.15000000000000002</v>
      </c>
      <c r="AW158" s="43">
        <f t="shared" si="4"/>
        <v>2.9000000000000004</v>
      </c>
      <c r="AX158" s="43">
        <f t="shared" si="5"/>
        <v>4.3500000000000005</v>
      </c>
      <c r="AY158" s="155">
        <v>7.6499999999999995</v>
      </c>
      <c r="AZ158" s="156">
        <f t="shared" si="6"/>
        <v>221.85</v>
      </c>
      <c r="BA158" s="45">
        <f>IF(A158&lt;&gt;"",IF(_xlfn.XLOOKUP(A158,'1C'!A:A,'1C'!A:A,0,0)&gt;0,1,0),"")</f>
        <v>0</v>
      </c>
      <c r="BB158" s="150">
        <f>IF(C158&lt;&gt;"",IF(_xlfn.XLOOKUP(C158,'1C'!S:S,'1C'!S:S,0,0)&gt;0,0,1),"")</f>
        <v>0</v>
      </c>
      <c r="BC158" s="45">
        <f t="shared" si="7"/>
        <v>1</v>
      </c>
    </row>
    <row r="159" spans="1:55" ht="123.4" customHeight="1">
      <c r="A159" s="43" t="str">
        <f t="shared" si="0"/>
        <v>43870A-KCKnavy</v>
      </c>
      <c r="B159" s="45" t="str">
        <f>IF(C159&lt;&gt;"",_xlfn.XLOOKUP(A159,'1C'!A:A,'1C'!B:B,MID(_xlfn.XLOOKUP(C159,'1C'!S:S,'1C'!B:B,"new",0),1,7)&amp;IF(BC159=1,IF(L159&lt;&gt;"",_xlfn.XLOOKUP(L159,Colors!A:A,Colors!B:B,"new",0),"требуется цвет"),""),0))</f>
        <v>06-281-16</v>
      </c>
      <c r="C159" s="44" t="s">
        <v>2197</v>
      </c>
      <c r="D159" s="43" t="str">
        <f>IF(A159&lt;&gt;"",_xlfn.XLOOKUP(C159,'1C'!S:S,'1C'!T:T,"",0),"")</f>
        <v>Kansas City Katz Hepcat MILB</v>
      </c>
      <c r="E159" s="43" t="str">
        <f>IF(F159&lt;&gt;"",IFERROR(VLOOKUP(F159,Категории!A:B,2,0),""),"Требуется категория")</f>
        <v>Бейсболки</v>
      </c>
      <c r="F159" s="43" t="str">
        <f>IF(A159&lt;&gt;"",IF(BA159&gt;0,_xlfn.XLOOKUP(A159,'1C'!A:A,'1C'!J:J,"",0),_xlfn.XLOOKUP(C159,'1C'!S:S,'1C'!J:J,"",0)),"")</f>
        <v>Бейсболка</v>
      </c>
      <c r="G159" s="43" t="str">
        <f>IF(C159&lt;&gt;"",IF(BA159&gt;0,_xlfn.XLOOKUP(A159,'1C'!A:A,'1C'!L:L,"",0),_xlfn.XLOOKUP(C159,'1C'!S:S,'1C'!L:L,"",0)),"")</f>
        <v>Sport</v>
      </c>
      <c r="H159" s="43" t="str">
        <f>IF(A159&lt;&gt;"",_xlfn.XLOOKUP(A159,'1C'!A:A,'1C'!M:M,_xlfn.XLOOKUP(C159,'1C'!S:S,'1C'!M:M,"",0),0))</f>
        <v>всесезон</v>
      </c>
      <c r="J159" s="43" t="str">
        <f>'1C'!$AF$1</f>
        <v>American Needle</v>
      </c>
      <c r="K159" s="104" t="s">
        <v>818</v>
      </c>
      <c r="L159" s="59" t="str">
        <f>IF(K159&lt;&gt;"",IFERROR(VLOOKUP(A159,'1C'!A:T,8,0),IFERROR(VLOOKUP(K159,Colors!D:E,2,0),"")),"")</f>
        <v>темно-синий</v>
      </c>
      <c r="M159" s="59" t="str">
        <f>IF(K159&lt;&gt;"",IFERROR(VLOOKUP(A159,'1C'!A:T,18,0),IFERROR(VLOOKUP(K159,Colors!D:E,2,0),"")),"")</f>
        <v>синий</v>
      </c>
      <c r="N159" s="147" t="str">
        <f>IF(A159&lt;&gt;"",_xlfn.XLOOKUP(A159,'1C'!A:A,'1C'!I:I,_xlfn.XLOOKUP(C159,'1C'!S:S,'1C'!I:I,"",0),0),"")</f>
        <v>100% хлопок</v>
      </c>
      <c r="P159" s="43" t="str">
        <f>IF(A159&lt;&gt;"",_xlfn.XLOOKUP(A159,'1C'!A:A,'1C'!N:N,_xlfn.XLOOKUP(C159,'1C'!S:S,'1C'!N:N,"",0),0),"")</f>
        <v>хлопковые</v>
      </c>
      <c r="Q159" s="59" t="s">
        <v>15</v>
      </c>
      <c r="R159" s="43" t="str">
        <f>IF(A159&lt;&gt;"",_xlfn.XLOOKUP(A159,'1C'!A:A,'1C'!K:K,_xlfn.XLOOKUP(C159,'1C'!S:S,'1C'!K:K,"",0),0),"")</f>
        <v>Унисекс</v>
      </c>
      <c r="S159" s="44">
        <v>29</v>
      </c>
      <c r="AQ159" s="59">
        <f t="shared" si="1"/>
        <v>29</v>
      </c>
      <c r="AR159" s="43" t="str">
        <f>IF(A159&lt;&gt;"",_xlfn.XLOOKUP(_xlfn.XLOOKUP(A159,'1C'!A:A,'1C'!O:O,_xlfn.XLOOKUP(C159,'1C'!S:S,'1C'!O:O,"",0),0),Settings!N:N,Settings!O:O,"",0),"")</f>
        <v>CN</v>
      </c>
      <c r="AS159" s="56" t="str">
        <f ca="1">IF(BA159&gt;0,_xlfn.XLOOKUP(A159,'1C'!$A:$A,'1C'!P:P,"",0,),IF(AR159&lt;&gt;"",VLOOKUP(AR159,INDIRECT(SUBSTITUTE($J159," ","")&amp;"Manufactures"),3,0),"Требуется код страны"))</f>
        <v>American Needle, Inc; 1275 Busch Parkway, Buffalo Grove, IL 60089, USA</v>
      </c>
      <c r="AT159" s="56" t="str">
        <f ca="1">IF(BA159&gt;0,_xlfn.XLOOKUP(A159,'1C'!$A:$A,'1C'!O:O,"",0),IF(AR159&lt;&gt;"",VLOOKUP(AR159,INDIRECT(SUBSTITUTE($J159," ","")&amp;"Manufactures"),2,0),"Требуется код страны"))</f>
        <v>Китай</v>
      </c>
      <c r="AU159" s="76">
        <f t="shared" si="2"/>
        <v>0.1</v>
      </c>
      <c r="AV159" s="43">
        <f t="shared" si="3"/>
        <v>0.15000000000000002</v>
      </c>
      <c r="AW159" s="43">
        <f t="shared" si="4"/>
        <v>2.9000000000000004</v>
      </c>
      <c r="AX159" s="43">
        <f t="shared" si="5"/>
        <v>4.3500000000000005</v>
      </c>
      <c r="AY159" s="155">
        <v>7.6499999999999995</v>
      </c>
      <c r="AZ159" s="156">
        <f t="shared" si="6"/>
        <v>221.85</v>
      </c>
      <c r="BA159" s="45">
        <f>IF(A159&lt;&gt;"",IF(_xlfn.XLOOKUP(A159,'1C'!A:A,'1C'!A:A,0,0)&gt;0,1,0),"")</f>
        <v>1</v>
      </c>
      <c r="BB159" s="150">
        <f>IF(C159&lt;&gt;"",IF(_xlfn.XLOOKUP(C159,'1C'!S:S,'1C'!S:S,0,0)&gt;0,0,1),"")</f>
        <v>0</v>
      </c>
      <c r="BC159" s="45">
        <f t="shared" si="7"/>
        <v>0</v>
      </c>
    </row>
    <row r="160" spans="1:55" ht="120" customHeight="1">
      <c r="A160" s="43" t="str">
        <f t="shared" si="0"/>
        <v>43870A-MTEVnavy</v>
      </c>
      <c r="B160" s="45" t="str">
        <f>IF(C160&lt;&gt;"",_xlfn.XLOOKUP(A160,'1C'!A:A,'1C'!B:B,MID(_xlfn.XLOOKUP(C160,'1C'!S:S,'1C'!B:B,"new",0),1,7)&amp;IF(BC160=1,IF(L160&lt;&gt;"",_xlfn.XLOOKUP(L160,Colors!A:A,Colors!B:B,"new",0),"требуется цвет"),""),0))</f>
        <v>06-445-16</v>
      </c>
      <c r="C160" s="44" t="s">
        <v>2198</v>
      </c>
      <c r="D160" s="43" t="str">
        <f>VLOOKUP(C160,Names!A:B,2,0)</f>
        <v>Mt Everest Hepcat</v>
      </c>
      <c r="E160" s="43" t="str">
        <f>IF(F160&lt;&gt;"",IFERROR(VLOOKUP(F160,Категории!A:B,2,0),""),"Требуется категория")</f>
        <v>Бейсболки</v>
      </c>
      <c r="F160" s="44" t="s">
        <v>2315</v>
      </c>
      <c r="G160" s="44" t="s">
        <v>884</v>
      </c>
      <c r="H160" s="44" t="s">
        <v>388</v>
      </c>
      <c r="J160" s="43" t="str">
        <f>'1C'!$AF$1</f>
        <v>American Needle</v>
      </c>
      <c r="K160" s="104" t="s">
        <v>818</v>
      </c>
      <c r="L160" s="59" t="str">
        <f>IF(K160&lt;&gt;"",IFERROR(VLOOKUP(A160,'1C'!A:T,8,0),IFERROR(VLOOKUP(K160,Colors!D:E,2,0),"")),"")</f>
        <v>темно-синий</v>
      </c>
      <c r="M160" s="59" t="str">
        <f>IF(K160&lt;&gt;"",IFERROR(VLOOKUP(A160,'1C'!A:T,18,0),IFERROR(VLOOKUP(K160,Colors!D:E,2,0),"")),"")</f>
        <v>темно-синий</v>
      </c>
      <c r="N160" s="141" t="str">
        <f>Order!B158</f>
        <v>100% Хлопок</v>
      </c>
      <c r="P160" s="44" t="s">
        <v>43</v>
      </c>
      <c r="Q160" s="59" t="s">
        <v>15</v>
      </c>
      <c r="R160" s="58" t="s">
        <v>382</v>
      </c>
      <c r="S160" s="44">
        <v>34</v>
      </c>
      <c r="AQ160" s="59">
        <f t="shared" si="1"/>
        <v>34</v>
      </c>
      <c r="AR160" s="66" t="str">
        <f>Order!A158</f>
        <v>CN</v>
      </c>
      <c r="AS160" s="56" t="str">
        <f ca="1">IF(BA160&gt;0,_xlfn.XLOOKUP(A160,'1C'!$A:$A,'1C'!P:P,"",0,),IF(AR160&lt;&gt;"",VLOOKUP(AR160,INDIRECT(SUBSTITUTE($J160," ","")&amp;"Manufactures"),3,0),"Требуется код страны"))</f>
        <v>American Needle, Inc; 1275 Busch Parkway, Buffalo Grove, IL 60089, USA</v>
      </c>
      <c r="AT160" s="56" t="str">
        <f ca="1">IF(BA160&gt;0,_xlfn.XLOOKUP(A160,'1C'!$A:$A,'1C'!O:O,"",0),IF(AR160&lt;&gt;"",VLOOKUP(AR160,INDIRECT(SUBSTITUTE($J160," ","")&amp;"Manufactures"),2,0),"Требуется код страны"))</f>
        <v>Китай</v>
      </c>
      <c r="AU160" s="76">
        <f t="shared" si="2"/>
        <v>0.1</v>
      </c>
      <c r="AV160" s="43">
        <f t="shared" si="3"/>
        <v>0.15000000000000002</v>
      </c>
      <c r="AW160" s="43">
        <f t="shared" si="4"/>
        <v>3.4000000000000004</v>
      </c>
      <c r="AX160" s="43">
        <f t="shared" si="5"/>
        <v>5.1000000000000005</v>
      </c>
      <c r="AY160" s="155">
        <v>7.65</v>
      </c>
      <c r="AZ160" s="156">
        <f t="shared" si="6"/>
        <v>260.10000000000002</v>
      </c>
      <c r="BA160" s="45">
        <f>IF(A160&lt;&gt;"",IF(_xlfn.XLOOKUP(A160,'1C'!A:A,'1C'!A:A,0,0)&gt;0,1,0),"")</f>
        <v>0</v>
      </c>
      <c r="BB160" s="150">
        <f>IF(C160&lt;&gt;"",IF(_xlfn.XLOOKUP(C160,'1C'!S:S,'1C'!S:S,0,0)&gt;0,0,1),"")</f>
        <v>0</v>
      </c>
      <c r="BC160" s="45">
        <f t="shared" si="7"/>
        <v>1</v>
      </c>
    </row>
    <row r="161" spans="1:55" ht="112.7" customHeight="1">
      <c r="A161" s="43" t="str">
        <f t="shared" si="0"/>
        <v>43870A-NASAblk</v>
      </c>
      <c r="B161" s="45" t="str">
        <f>IF(C161&lt;&gt;"",_xlfn.XLOOKUP(A161,'1C'!A:A,'1C'!B:B,MID(_xlfn.XLOOKUP(C161,'1C'!S:S,'1C'!B:B,"new",0),1,7)&amp;IF(BC161=1,IF(L161&lt;&gt;"",_xlfn.XLOOKUP(L161,Colors!A:A,Colors!B:B,"new",0),"требуется цвет"),""),0))</f>
        <v>06-075-09</v>
      </c>
      <c r="C161" s="44" t="s">
        <v>2199</v>
      </c>
      <c r="D161" s="43" t="str">
        <f>IF(A161&lt;&gt;"",_xlfn.XLOOKUP(C161,'1C'!S:S,'1C'!T:T,"",0),"")</f>
        <v>Space with NASA</v>
      </c>
      <c r="E161" s="43" t="str">
        <f>IF(F161&lt;&gt;"",IFERROR(VLOOKUP(F161,Категории!A:B,2,0),""),"Требуется категория")</f>
        <v>Бейсболки</v>
      </c>
      <c r="F161" s="43" t="str">
        <f>IF(A161&lt;&gt;"",IF(BA161&gt;0,_xlfn.XLOOKUP(A161,'1C'!A:A,'1C'!J:J,"",0),_xlfn.XLOOKUP(C161,'1C'!S:S,'1C'!J:J,"",0)),"")</f>
        <v>Бейсболка</v>
      </c>
      <c r="G161" s="43" t="str">
        <f>IF(C161&lt;&gt;"",IF(BA161&gt;0,_xlfn.XLOOKUP(A161,'1C'!A:A,'1C'!L:L,"",0),_xlfn.XLOOKUP(C161,'1C'!S:S,'1C'!L:L,"",0)),"")</f>
        <v>AMERICAN NEEDLE-Space</v>
      </c>
      <c r="H161" s="43" t="str">
        <f>IF(A161&lt;&gt;"",_xlfn.XLOOKUP(A161,'1C'!A:A,'1C'!M:M,_xlfn.XLOOKUP(C161,'1C'!S:S,'1C'!M:M,"",0),0))</f>
        <v>всесезон</v>
      </c>
      <c r="J161" s="43" t="str">
        <f>'1C'!$AF$1</f>
        <v>American Needle</v>
      </c>
      <c r="K161" s="104" t="s">
        <v>843</v>
      </c>
      <c r="L161" s="59" t="str">
        <f>IF(K161&lt;&gt;"",IFERROR(VLOOKUP(A161,'1C'!A:T,8,0),IFERROR(VLOOKUP(K161,Colors!D:E,2,0),"")),"")</f>
        <v>черный</v>
      </c>
      <c r="M161" s="59" t="str">
        <f>IF(K161&lt;&gt;"",IFERROR(VLOOKUP(A161,'1C'!A:T,18,0),IFERROR(VLOOKUP(K161,Colors!D:E,2,0),"")),"")</f>
        <v>черный</v>
      </c>
      <c r="N161" s="147" t="str">
        <f>IF(A161&lt;&gt;"",_xlfn.XLOOKUP(A161,'1C'!A:A,'1C'!I:I,_xlfn.XLOOKUP(C161,'1C'!S:S,'1C'!I:I,"",0),0),"")</f>
        <v>100% хлопок</v>
      </c>
      <c r="P161" s="43" t="str">
        <f>IF(A161&lt;&gt;"",_xlfn.XLOOKUP(A161,'1C'!A:A,'1C'!N:N,_xlfn.XLOOKUP(C161,'1C'!S:S,'1C'!N:N,"",0),0),"")</f>
        <v>хлопковые</v>
      </c>
      <c r="Q161" s="59" t="s">
        <v>15</v>
      </c>
      <c r="R161" s="43" t="str">
        <f>IF(A161&lt;&gt;"",_xlfn.XLOOKUP(A161,'1C'!A:A,'1C'!K:K,_xlfn.XLOOKUP(C161,'1C'!S:S,'1C'!K:K,"",0),0),"")</f>
        <v>Унисекс</v>
      </c>
      <c r="S161" s="44">
        <v>14</v>
      </c>
      <c r="AQ161" s="59">
        <f t="shared" si="1"/>
        <v>14</v>
      </c>
      <c r="AR161" s="43" t="str">
        <f>IF(A161&lt;&gt;"",_xlfn.XLOOKUP(_xlfn.XLOOKUP(A161,'1C'!A:A,'1C'!O:O,_xlfn.XLOOKUP(C161,'1C'!S:S,'1C'!O:O,"",0),0),Settings!N:N,Settings!O:O,"",0),"")</f>
        <v>CN</v>
      </c>
      <c r="AS161" s="56" t="str">
        <f ca="1">IF(BA161&gt;0,_xlfn.XLOOKUP(A161,'1C'!$A:$A,'1C'!P:P,"",0,),IF(AR161&lt;&gt;"",VLOOKUP(AR161,INDIRECT(SUBSTITUTE($J161," ","")&amp;"Manufactures"),3,0),"Требуется код страны"))</f>
        <v>American Needle, Inc; 1275 Busch Parkway, Buffalo Grove, IL 60089, USA</v>
      </c>
      <c r="AT161" s="56" t="str">
        <f ca="1">IF(BA161&gt;0,_xlfn.XLOOKUP(A161,'1C'!$A:$A,'1C'!O:O,"",0),IF(AR161&lt;&gt;"",VLOOKUP(AR161,INDIRECT(SUBSTITUTE($J161," ","")&amp;"Manufactures"),2,0),"Требуется код страны"))</f>
        <v>Китай</v>
      </c>
      <c r="AU161" s="76">
        <f t="shared" si="2"/>
        <v>0.1</v>
      </c>
      <c r="AV161" s="43">
        <f t="shared" si="3"/>
        <v>0.15000000000000002</v>
      </c>
      <c r="AW161" s="43">
        <f t="shared" si="4"/>
        <v>1.4000000000000001</v>
      </c>
      <c r="AX161" s="43">
        <f t="shared" si="5"/>
        <v>2.1000000000000005</v>
      </c>
      <c r="AY161" s="155">
        <v>7.6499999999999995</v>
      </c>
      <c r="AZ161" s="156">
        <f t="shared" si="6"/>
        <v>107.1</v>
      </c>
      <c r="BA161" s="45">
        <f>IF(A161&lt;&gt;"",IF(_xlfn.XLOOKUP(A161,'1C'!A:A,'1C'!A:A,0,0)&gt;0,1,0),"")</f>
        <v>1</v>
      </c>
      <c r="BB161" s="150">
        <f>IF(C161&lt;&gt;"",IF(_xlfn.XLOOKUP(C161,'1C'!S:S,'1C'!S:S,0,0)&gt;0,0,1),"")</f>
        <v>0</v>
      </c>
      <c r="BC161" s="45">
        <f t="shared" si="7"/>
        <v>0</v>
      </c>
    </row>
    <row r="162" spans="1:55" ht="119.65" customHeight="1">
      <c r="A162" s="43" t="str">
        <f t="shared" si="0"/>
        <v>43870A-OLNPdark green</v>
      </c>
      <c r="B162" s="45" t="str">
        <f>IF(C162&lt;&gt;"",_xlfn.XLOOKUP(A162,'1C'!A:A,'1C'!B:B,MID(_xlfn.XLOOKUP(C162,'1C'!S:S,'1C'!B:B,"new",0),1,7)&amp;IF(BC162=1,IF(L162&lt;&gt;"",_xlfn.XLOOKUP(L162,Colors!A:A,Colors!B:B,"new",0),"требуется цвет"),""),0))</f>
        <v>06-446-07</v>
      </c>
      <c r="C162" s="44" t="s">
        <v>2200</v>
      </c>
      <c r="D162" s="43" t="str">
        <f>VLOOKUP(C162,Names!A:B,2,0)</f>
        <v>Olympic NP Hepcat</v>
      </c>
      <c r="E162" s="43" t="str">
        <f>IF(F162&lt;&gt;"",IFERROR(VLOOKUP(F162,Категории!A:B,2,0),""),"Требуется категория")</f>
        <v>Бейсболки</v>
      </c>
      <c r="F162" s="44" t="s">
        <v>2315</v>
      </c>
      <c r="G162" s="44" t="s">
        <v>884</v>
      </c>
      <c r="H162" s="44" t="s">
        <v>388</v>
      </c>
      <c r="J162" s="43" t="str">
        <f>'1C'!$AF$1</f>
        <v>American Needle</v>
      </c>
      <c r="K162" s="104" t="s">
        <v>2284</v>
      </c>
      <c r="L162" s="58" t="s">
        <v>269</v>
      </c>
      <c r="M162" s="58" t="s">
        <v>60</v>
      </c>
      <c r="N162" s="141" t="str">
        <f>Order!B160</f>
        <v>100% Хлопок</v>
      </c>
      <c r="P162" s="44" t="s">
        <v>43</v>
      </c>
      <c r="Q162" s="59" t="s">
        <v>15</v>
      </c>
      <c r="R162" s="58" t="s">
        <v>382</v>
      </c>
      <c r="S162" s="44">
        <v>34</v>
      </c>
      <c r="AQ162" s="59">
        <f t="shared" si="1"/>
        <v>34</v>
      </c>
      <c r="AR162" s="66" t="str">
        <f>Order!A160</f>
        <v>CN</v>
      </c>
      <c r="AS162" s="56" t="str">
        <f ca="1">IF(BA162&gt;0,_xlfn.XLOOKUP(A162,'1C'!$A:$A,'1C'!P:P,"",0,),IF(AR162&lt;&gt;"",VLOOKUP(AR162,INDIRECT(SUBSTITUTE($J162," ","")&amp;"Manufactures"),3,0),"Требуется код страны"))</f>
        <v>American Needle, Inc; 1275 Busch Parkway, Buffalo Grove, IL 60089, USA</v>
      </c>
      <c r="AT162" s="56" t="str">
        <f ca="1">IF(BA162&gt;0,_xlfn.XLOOKUP(A162,'1C'!$A:$A,'1C'!O:O,"",0),IF(AR162&lt;&gt;"",VLOOKUP(AR162,INDIRECT(SUBSTITUTE($J162," ","")&amp;"Manufactures"),2,0),"Требуется код страны"))</f>
        <v>Китай</v>
      </c>
      <c r="AU162" s="76">
        <f t="shared" si="2"/>
        <v>0.1</v>
      </c>
      <c r="AV162" s="43">
        <f t="shared" si="3"/>
        <v>0.15000000000000002</v>
      </c>
      <c r="AW162" s="43">
        <f t="shared" si="4"/>
        <v>3.4000000000000004</v>
      </c>
      <c r="AX162" s="43">
        <f t="shared" si="5"/>
        <v>5.1000000000000005</v>
      </c>
      <c r="AY162" s="155">
        <v>7.65</v>
      </c>
      <c r="AZ162" s="156">
        <f t="shared" si="6"/>
        <v>260.10000000000002</v>
      </c>
      <c r="BA162" s="45">
        <f>IF(A162&lt;&gt;"",IF(_xlfn.XLOOKUP(A162,'1C'!A:A,'1C'!A:A,0,0)&gt;0,1,0),"")</f>
        <v>0</v>
      </c>
      <c r="BB162" s="150">
        <f>IF(C162&lt;&gt;"",IF(_xlfn.XLOOKUP(C162,'1C'!S:S,'1C'!S:S,0,0)&gt;0,0,1),"")</f>
        <v>0</v>
      </c>
      <c r="BC162" s="45">
        <f t="shared" si="7"/>
        <v>1</v>
      </c>
    </row>
    <row r="163" spans="1:55" ht="128.65" customHeight="1">
      <c r="A163" s="43" t="str">
        <f t="shared" si="0"/>
        <v>43870A-SBEARnavy</v>
      </c>
      <c r="B163" s="45" t="str">
        <f>IF(C163&lt;&gt;"",_xlfn.XLOOKUP(A163,'1C'!A:A,'1C'!B:B,MID(_xlfn.XLOOKUP(C163,'1C'!S:S,'1C'!B:B,"new",0),1,7)&amp;IF(BC163=1,IF(L163&lt;&gt;"",_xlfn.XLOOKUP(L163,Colors!A:A,Colors!B:B,"new",0),"требуется цвет"),""),0))</f>
        <v>06-447-16</v>
      </c>
      <c r="C163" s="44" t="s">
        <v>2201</v>
      </c>
      <c r="D163" s="43" t="str">
        <f>VLOOKUP(C163,Names!A:B,2,0)</f>
        <v>Smokey Bear Hepcat</v>
      </c>
      <c r="E163" s="43" t="str">
        <f>IF(F163&lt;&gt;"",IFERROR(VLOOKUP(F163,Категории!A:B,2,0),""),"Требуется категория")</f>
        <v>Бейсболки</v>
      </c>
      <c r="F163" s="44" t="s">
        <v>2315</v>
      </c>
      <c r="G163" s="44" t="s">
        <v>2716</v>
      </c>
      <c r="H163" s="44" t="s">
        <v>388</v>
      </c>
      <c r="J163" s="43" t="str">
        <f>'1C'!$AF$1</f>
        <v>American Needle</v>
      </c>
      <c r="K163" s="104" t="s">
        <v>818</v>
      </c>
      <c r="L163" s="59" t="str">
        <f>IF(K163&lt;&gt;"",IFERROR(VLOOKUP(A163,'1C'!A:T,8,0),IFERROR(VLOOKUP(K163,Colors!D:E,2,0),"")),"")</f>
        <v>темно-синий</v>
      </c>
      <c r="M163" s="59" t="str">
        <f>IF(K163&lt;&gt;"",IFERROR(VLOOKUP(A163,'1C'!A:T,18,0),IFERROR(VLOOKUP(K163,Colors!D:E,2,0),"")),"")</f>
        <v>темно-синий</v>
      </c>
      <c r="N163" s="141" t="str">
        <f>Order!B161</f>
        <v>100% Хлопок</v>
      </c>
      <c r="P163" s="44" t="s">
        <v>43</v>
      </c>
      <c r="Q163" s="59" t="s">
        <v>15</v>
      </c>
      <c r="R163" s="58" t="s">
        <v>382</v>
      </c>
      <c r="S163" s="44">
        <v>20</v>
      </c>
      <c r="AQ163" s="59">
        <f t="shared" si="1"/>
        <v>20</v>
      </c>
      <c r="AR163" s="66" t="str">
        <f>Order!A161</f>
        <v>CN</v>
      </c>
      <c r="AS163" s="56" t="str">
        <f ca="1">IF(BA163&gt;0,_xlfn.XLOOKUP(A163,'1C'!$A:$A,'1C'!P:P,"",0,),IF(AR163&lt;&gt;"",VLOOKUP(AR163,INDIRECT(SUBSTITUTE($J163," ","")&amp;"Manufactures"),3,0),"Требуется код страны"))</f>
        <v>American Needle, Inc; 1275 Busch Parkway, Buffalo Grove, IL 60089, USA</v>
      </c>
      <c r="AT163" s="56" t="str">
        <f ca="1">IF(BA163&gt;0,_xlfn.XLOOKUP(A163,'1C'!$A:$A,'1C'!O:O,"",0),IF(AR163&lt;&gt;"",VLOOKUP(AR163,INDIRECT(SUBSTITUTE($J163," ","")&amp;"Manufactures"),2,0),"Требуется код страны"))</f>
        <v>Китай</v>
      </c>
      <c r="AU163" s="76">
        <f t="shared" si="2"/>
        <v>0.1</v>
      </c>
      <c r="AV163" s="43">
        <f t="shared" si="3"/>
        <v>0.15000000000000002</v>
      </c>
      <c r="AW163" s="43">
        <f t="shared" si="4"/>
        <v>2</v>
      </c>
      <c r="AX163" s="43">
        <f t="shared" si="5"/>
        <v>3.0000000000000004</v>
      </c>
      <c r="AY163" s="155">
        <v>9.35</v>
      </c>
      <c r="AZ163" s="156">
        <f t="shared" si="6"/>
        <v>187</v>
      </c>
      <c r="BA163" s="45">
        <f>IF(A163&lt;&gt;"",IF(_xlfn.XLOOKUP(A163,'1C'!A:A,'1C'!A:A,0,0)&gt;0,1,0),"")</f>
        <v>0</v>
      </c>
      <c r="BB163" s="150">
        <f>IF(C163&lt;&gt;"",IF(_xlfn.XLOOKUP(C163,'1C'!S:S,'1C'!S:S,0,0)&gt;0,0,1),"")</f>
        <v>0</v>
      </c>
      <c r="BC163" s="45">
        <f t="shared" si="7"/>
        <v>1</v>
      </c>
    </row>
    <row r="164" spans="1:55" ht="123.4" customHeight="1">
      <c r="A164" s="43" t="str">
        <f t="shared" si="0"/>
        <v>43877A-ASEnavy</v>
      </c>
      <c r="B164" s="45" t="str">
        <f>IF(C164&lt;&gt;"",_xlfn.XLOOKUP(A164,'1C'!A:A,'1C'!B:B,MID(_xlfn.XLOOKUP(C164,'1C'!S:S,'1C'!B:B,"new",0),1,7)&amp;IF(BC164=1,IF(L164&lt;&gt;"",_xlfn.XLOOKUP(L164,Colors!A:A,Colors!B:B,"new",0),"требуется цвет"),""),0))</f>
        <v>06-284-16</v>
      </c>
      <c r="C164" s="44" t="s">
        <v>2202</v>
      </c>
      <c r="D164" s="43" t="str">
        <f>IF(A164&lt;&gt;"",_xlfn.XLOOKUP(C164,'1C'!S:S,'1C'!T:T,"",0),"")</f>
        <v>Austin Senators Hepcat MILB</v>
      </c>
      <c r="E164" s="43" t="str">
        <f>IF(F164&lt;&gt;"",IFERROR(VLOOKUP(F164,Категории!A:B,2,0),""),"Требуется категория")</f>
        <v>Бейсболки</v>
      </c>
      <c r="F164" s="43" t="str">
        <f>IF(A164&lt;&gt;"",IF(BA164&gt;0,_xlfn.XLOOKUP(A164,'1C'!A:A,'1C'!J:J,"",0),_xlfn.XLOOKUP(C164,'1C'!S:S,'1C'!J:J,"",0)),"")</f>
        <v>Бейсболка</v>
      </c>
      <c r="G164" s="43" t="str">
        <f>IF(C164&lt;&gt;"",IF(BA164&gt;0,_xlfn.XLOOKUP(A164,'1C'!A:A,'1C'!L:L,"",0),_xlfn.XLOOKUP(C164,'1C'!S:S,'1C'!L:L,"",0)),"")</f>
        <v>Sport</v>
      </c>
      <c r="H164" s="43" t="str">
        <f>IF(A164&lt;&gt;"",_xlfn.XLOOKUP(A164,'1C'!A:A,'1C'!M:M,_xlfn.XLOOKUP(C164,'1C'!S:S,'1C'!M:M,"",0),0))</f>
        <v>всесезон</v>
      </c>
      <c r="J164" s="43" t="str">
        <f>'1C'!$AF$1</f>
        <v>American Needle</v>
      </c>
      <c r="K164" s="104" t="s">
        <v>818</v>
      </c>
      <c r="L164" s="59" t="str">
        <f>IF(K164&lt;&gt;"",IFERROR(VLOOKUP(A164,'1C'!A:T,8,0),IFERROR(VLOOKUP(K164,Colors!D:E,2,0),"")),"")</f>
        <v>темно-синий</v>
      </c>
      <c r="M164" s="59" t="str">
        <f>IF(K164&lt;&gt;"",IFERROR(VLOOKUP(A164,'1C'!A:T,18,0),IFERROR(VLOOKUP(K164,Colors!D:E,2,0),"")),"")</f>
        <v>синий</v>
      </c>
      <c r="N164" s="147" t="str">
        <f>IF(A164&lt;&gt;"",_xlfn.XLOOKUP(A164,'1C'!A:A,'1C'!I:I,_xlfn.XLOOKUP(C164,'1C'!S:S,'1C'!I:I,"",0),0),"")</f>
        <v>100% хлопок</v>
      </c>
      <c r="P164" s="43" t="str">
        <f>IF(A164&lt;&gt;"",_xlfn.XLOOKUP(A164,'1C'!A:A,'1C'!N:N,_xlfn.XLOOKUP(C164,'1C'!S:S,'1C'!N:N,"",0),0),"")</f>
        <v>хлопковые</v>
      </c>
      <c r="Q164" s="59" t="s">
        <v>15</v>
      </c>
      <c r="R164" s="43" t="str">
        <f>IF(A164&lt;&gt;"",_xlfn.XLOOKUP(A164,'1C'!A:A,'1C'!K:K,_xlfn.XLOOKUP(C164,'1C'!S:S,'1C'!K:K,"",0),0),"")</f>
        <v>Унисекс</v>
      </c>
      <c r="S164" s="44">
        <v>23</v>
      </c>
      <c r="AQ164" s="59">
        <f t="shared" si="1"/>
        <v>23</v>
      </c>
      <c r="AR164" s="43" t="str">
        <f>IF(A164&lt;&gt;"",_xlfn.XLOOKUP(_xlfn.XLOOKUP(A164,'1C'!A:A,'1C'!O:O,_xlfn.XLOOKUP(C164,'1C'!S:S,'1C'!O:O,"",0),0),Settings!N:N,Settings!O:O,"",0),"")</f>
        <v>CN</v>
      </c>
      <c r="AS164" s="56" t="str">
        <f ca="1">IF(BA164&gt;0,_xlfn.XLOOKUP(A164,'1C'!$A:$A,'1C'!P:P,"",0,),IF(AR164&lt;&gt;"",VLOOKUP(AR164,INDIRECT(SUBSTITUTE($J164," ","")&amp;"Manufactures"),3,0),"Требуется код страны"))</f>
        <v>American Needle, Inc; 1275 Busch Parkway, Buffalo Grove, IL 60089, USA</v>
      </c>
      <c r="AT164" s="56" t="str">
        <f ca="1">IF(BA164&gt;0,_xlfn.XLOOKUP(A164,'1C'!$A:$A,'1C'!O:O,"",0),IF(AR164&lt;&gt;"",VLOOKUP(AR164,INDIRECT(SUBSTITUTE($J164," ","")&amp;"Manufactures"),2,0),"Требуется код страны"))</f>
        <v>Китай</v>
      </c>
      <c r="AU164" s="76">
        <f t="shared" si="2"/>
        <v>0.1</v>
      </c>
      <c r="AV164" s="43">
        <f t="shared" si="3"/>
        <v>0.15000000000000002</v>
      </c>
      <c r="AW164" s="43">
        <f t="shared" si="4"/>
        <v>2.3000000000000003</v>
      </c>
      <c r="AX164" s="43">
        <f t="shared" si="5"/>
        <v>3.4500000000000006</v>
      </c>
      <c r="AY164" s="155">
        <v>9.7752173913043485</v>
      </c>
      <c r="AZ164" s="156">
        <f t="shared" si="6"/>
        <v>224.83</v>
      </c>
      <c r="BA164" s="45">
        <f>IF(A164&lt;&gt;"",IF(_xlfn.XLOOKUP(A164,'1C'!A:A,'1C'!A:A,0,0)&gt;0,1,0),"")</f>
        <v>1</v>
      </c>
      <c r="BB164" s="150">
        <f>IF(C164&lt;&gt;"",IF(_xlfn.XLOOKUP(C164,'1C'!S:S,'1C'!S:S,0,0)&gt;0,0,1),"")</f>
        <v>0</v>
      </c>
      <c r="BC164" s="45">
        <f t="shared" si="7"/>
        <v>0</v>
      </c>
    </row>
    <row r="165" spans="1:55" ht="125.45" customHeight="1">
      <c r="A165" s="43" t="str">
        <f t="shared" si="0"/>
        <v>43877A-LOSnavy</v>
      </c>
      <c r="B165" s="45" t="str">
        <f>IF(C165&lt;&gt;"",_xlfn.XLOOKUP(A165,'1C'!A:A,'1C'!B:B,MID(_xlfn.XLOOKUP(C165,'1C'!S:S,'1C'!B:B,"new",0),1,7)&amp;IF(BC165=1,IF(L165&lt;&gt;"",_xlfn.XLOOKUP(L165,Colors!A:A,Colors!B:B,"new",0),"требуется цвет"),""),0))</f>
        <v>06-448-16</v>
      </c>
      <c r="C165" s="44" t="s">
        <v>2203</v>
      </c>
      <c r="D165" s="43" t="str">
        <f>VLOOKUP(C165,Names!A:B,2,0)</f>
        <v>Los Angeles Angels Hepcat</v>
      </c>
      <c r="E165" s="43" t="str">
        <f>IF(F165&lt;&gt;"",IFERROR(VLOOKUP(F165,Категории!A:B,2,0),""),"Требуется категория")</f>
        <v>Бейсболки</v>
      </c>
      <c r="F165" s="44" t="s">
        <v>327</v>
      </c>
      <c r="G165" s="44" t="s">
        <v>884</v>
      </c>
      <c r="H165" s="44" t="s">
        <v>388</v>
      </c>
      <c r="J165" s="43" t="str">
        <f>'1C'!$AF$1</f>
        <v>American Needle</v>
      </c>
      <c r="K165" s="104" t="s">
        <v>818</v>
      </c>
      <c r="L165" s="59" t="str">
        <f>IF(K165&lt;&gt;"",IFERROR(VLOOKUP(A165,'1C'!A:T,8,0),IFERROR(VLOOKUP(K165,Colors!D:E,2,0),"")),"")</f>
        <v>темно-синий</v>
      </c>
      <c r="M165" s="59" t="str">
        <f>IF(K165&lt;&gt;"",IFERROR(VLOOKUP(A165,'1C'!A:T,18,0),IFERROR(VLOOKUP(K165,Colors!D:E,2,0),"")),"")</f>
        <v>темно-синий</v>
      </c>
      <c r="N165" s="141" t="str">
        <f>Order!B163</f>
        <v>100% Хлопок</v>
      </c>
      <c r="P165" s="44" t="s">
        <v>43</v>
      </c>
      <c r="Q165" s="59" t="s">
        <v>15</v>
      </c>
      <c r="R165" s="58" t="s">
        <v>382</v>
      </c>
      <c r="S165" s="44">
        <v>28</v>
      </c>
      <c r="AQ165" s="59">
        <f t="shared" si="1"/>
        <v>28</v>
      </c>
      <c r="AR165" s="66" t="str">
        <f>Order!A163</f>
        <v>CN</v>
      </c>
      <c r="AS165" s="56" t="str">
        <f ca="1">IF(BA165&gt;0,_xlfn.XLOOKUP(A165,'1C'!$A:$A,'1C'!P:P,"",0,),IF(AR165&lt;&gt;"",VLOOKUP(AR165,INDIRECT(SUBSTITUTE($J165," ","")&amp;"Manufactures"),3,0),"Требуется код страны"))</f>
        <v>American Needle, Inc; 1275 Busch Parkway, Buffalo Grove, IL 60089, USA</v>
      </c>
      <c r="AT165" s="56" t="str">
        <f ca="1">IF(BA165&gt;0,_xlfn.XLOOKUP(A165,'1C'!$A:$A,'1C'!O:O,"",0),IF(AR165&lt;&gt;"",VLOOKUP(AR165,INDIRECT(SUBSTITUTE($J165," ","")&amp;"Manufactures"),2,0),"Требуется код страны"))</f>
        <v>Китай</v>
      </c>
      <c r="AU165" s="76">
        <f t="shared" si="2"/>
        <v>0.1</v>
      </c>
      <c r="AV165" s="43">
        <f t="shared" si="3"/>
        <v>0.15000000000000002</v>
      </c>
      <c r="AW165" s="43">
        <f t="shared" si="4"/>
        <v>2.8000000000000003</v>
      </c>
      <c r="AX165" s="43">
        <f t="shared" si="5"/>
        <v>4.2000000000000011</v>
      </c>
      <c r="AY165" s="155">
        <v>9.7750000000000004</v>
      </c>
      <c r="AZ165" s="156">
        <f t="shared" si="6"/>
        <v>273.7</v>
      </c>
      <c r="BA165" s="45">
        <f>IF(A165&lt;&gt;"",IF(_xlfn.XLOOKUP(A165,'1C'!A:A,'1C'!A:A,0,0)&gt;0,1,0),"")</f>
        <v>0</v>
      </c>
      <c r="BB165" s="150">
        <f>IF(C165&lt;&gt;"",IF(_xlfn.XLOOKUP(C165,'1C'!S:S,'1C'!S:S,0,0)&gt;0,0,1),"")</f>
        <v>0</v>
      </c>
      <c r="BC165" s="45">
        <f t="shared" si="7"/>
        <v>1</v>
      </c>
    </row>
    <row r="166" spans="1:55" ht="123.4" customHeight="1">
      <c r="A166" s="43" t="str">
        <f t="shared" si="0"/>
        <v>43877A-SAFblack</v>
      </c>
      <c r="B166" s="45" t="str">
        <f>IF(C166&lt;&gt;"",_xlfn.XLOOKUP(A166,'1C'!A:A,'1C'!B:B,MID(_xlfn.XLOOKUP(C166,'1C'!S:S,'1C'!B:B,"new",0),1,7)&amp;IF(BC166=1,IF(L166&lt;&gt;"",_xlfn.XLOOKUP(L166,Colors!A:A,Colors!B:B,"new",0),"требуется цвет"),""),0))</f>
        <v>06-449-09</v>
      </c>
      <c r="C166" s="44" t="s">
        <v>2204</v>
      </c>
      <c r="D166" s="43" t="str">
        <f>VLOOKUP(C166,Names!A:B,2,0)</f>
        <v>SAN FRANCISCO SEALS Hepcat</v>
      </c>
      <c r="E166" s="43" t="str">
        <f>IF(F166&lt;&gt;"",IFERROR(VLOOKUP(F166,Категории!A:B,2,0),""),"Требуется категория")</f>
        <v>Бейсболки</v>
      </c>
      <c r="F166" s="44" t="s">
        <v>327</v>
      </c>
      <c r="G166" s="44" t="s">
        <v>884</v>
      </c>
      <c r="H166" s="44" t="s">
        <v>388</v>
      </c>
      <c r="J166" s="43" t="str">
        <f>'1C'!$AF$1</f>
        <v>American Needle</v>
      </c>
      <c r="K166" s="104" t="s">
        <v>819</v>
      </c>
      <c r="L166" s="59" t="str">
        <f>IF(K166&lt;&gt;"",IFERROR(VLOOKUP(A166,'1C'!A:T,8,0),IFERROR(VLOOKUP(K166,Colors!D:E,2,0),"")),"")</f>
        <v>черный</v>
      </c>
      <c r="M166" s="59" t="str">
        <f>IF(K166&lt;&gt;"",IFERROR(VLOOKUP(A166,'1C'!A:T,18,0),IFERROR(VLOOKUP(K166,Colors!D:E,2,0),"")),"")</f>
        <v>черный</v>
      </c>
      <c r="N166" s="141" t="str">
        <f>Order!B164</f>
        <v>100% Хлопок</v>
      </c>
      <c r="P166" s="44" t="s">
        <v>43</v>
      </c>
      <c r="Q166" s="59" t="s">
        <v>15</v>
      </c>
      <c r="R166" s="58" t="s">
        <v>382</v>
      </c>
      <c r="S166" s="44">
        <v>24</v>
      </c>
      <c r="AQ166" s="59">
        <f t="shared" si="1"/>
        <v>24</v>
      </c>
      <c r="AR166" s="66" t="str">
        <f>Order!A164</f>
        <v>CN</v>
      </c>
      <c r="AS166" s="56" t="str">
        <f ca="1">IF(BA166&gt;0,_xlfn.XLOOKUP(A166,'1C'!$A:$A,'1C'!P:P,"",0,),IF(AR166&lt;&gt;"",VLOOKUP(AR166,INDIRECT(SUBSTITUTE($J166," ","")&amp;"Manufactures"),3,0),"Требуется код страны"))</f>
        <v>American Needle, Inc; 1275 Busch Parkway, Buffalo Grove, IL 60089, USA</v>
      </c>
      <c r="AT166" s="56" t="str">
        <f ca="1">IF(BA166&gt;0,_xlfn.XLOOKUP(A166,'1C'!$A:$A,'1C'!O:O,"",0),IF(AR166&lt;&gt;"",VLOOKUP(AR166,INDIRECT(SUBSTITUTE($J166," ","")&amp;"Manufactures"),2,0),"Требуется код страны"))</f>
        <v>Китай</v>
      </c>
      <c r="AU166" s="76">
        <f t="shared" si="2"/>
        <v>0.1</v>
      </c>
      <c r="AV166" s="43">
        <f t="shared" si="3"/>
        <v>0.15000000000000002</v>
      </c>
      <c r="AW166" s="43">
        <f t="shared" si="4"/>
        <v>2.4000000000000004</v>
      </c>
      <c r="AX166" s="43">
        <f t="shared" si="5"/>
        <v>3.6000000000000005</v>
      </c>
      <c r="AY166" s="155">
        <v>9.7750000000000004</v>
      </c>
      <c r="AZ166" s="156">
        <f t="shared" si="6"/>
        <v>234.60000000000002</v>
      </c>
      <c r="BA166" s="45">
        <f>IF(A166&lt;&gt;"",IF(_xlfn.XLOOKUP(A166,'1C'!A:A,'1C'!A:A,0,0)&gt;0,1,0),"")</f>
        <v>0</v>
      </c>
      <c r="BB166" s="150">
        <f>IF(C166&lt;&gt;"",IF(_xlfn.XLOOKUP(C166,'1C'!S:S,'1C'!S:S,0,0)&gt;0,0,1),"")</f>
        <v>0</v>
      </c>
      <c r="BC166" s="45">
        <f t="shared" si="7"/>
        <v>1</v>
      </c>
    </row>
    <row r="167" spans="1:55" ht="119.65" customHeight="1">
      <c r="A167" s="43" t="str">
        <f t="shared" si="0"/>
        <v>43910A-BOWIblack</v>
      </c>
      <c r="B167" s="45" t="str">
        <f>IF(C167&lt;&gt;"",_xlfn.XLOOKUP(A167,'1C'!A:A,'1C'!B:B,MID(_xlfn.XLOOKUP(C167,'1C'!S:S,'1C'!B:B,"new",0),1,7)&amp;IF(BC167=1,IF(L167&lt;&gt;"",_xlfn.XLOOKUP(L167,Colors!A:A,Colors!B:B,"new",0),"требуется цвет"),""),0))</f>
        <v>06-450-09</v>
      </c>
      <c r="C167" s="44" t="s">
        <v>2205</v>
      </c>
      <c r="D167" s="43" t="str">
        <f>VLOOKUP(C167,Names!A:B,2,0)</f>
        <v>BOWIE Iconic</v>
      </c>
      <c r="E167" s="43" t="str">
        <f>IF(F167&lt;&gt;"",IFERROR(VLOOKUP(F167,Категории!A:B,2,0),""),"Требуется категория")</f>
        <v>Бейсболки</v>
      </c>
      <c r="F167" s="44" t="s">
        <v>327</v>
      </c>
      <c r="G167" s="44" t="s">
        <v>2313</v>
      </c>
      <c r="H167" s="44" t="s">
        <v>388</v>
      </c>
      <c r="J167" s="43" t="str">
        <f>'1C'!$AF$1</f>
        <v>American Needle</v>
      </c>
      <c r="K167" s="104" t="s">
        <v>819</v>
      </c>
      <c r="L167" s="59" t="str">
        <f>IF(K167&lt;&gt;"",IFERROR(VLOOKUP(A167,'1C'!A:T,8,0),IFERROR(VLOOKUP(K167,Colors!D:E,2,0),"")),"")</f>
        <v>черный</v>
      </c>
      <c r="M167" s="59" t="str">
        <f>IF(K167&lt;&gt;"",IFERROR(VLOOKUP(A167,'1C'!A:T,18,0),IFERROR(VLOOKUP(K167,Colors!D:E,2,0),"")),"")</f>
        <v>черный</v>
      </c>
      <c r="N167" s="141" t="str">
        <f>Order!B165</f>
        <v>100% Хлопок</v>
      </c>
      <c r="P167" s="44" t="s">
        <v>43</v>
      </c>
      <c r="Q167" s="59" t="s">
        <v>15</v>
      </c>
      <c r="R167" s="58" t="s">
        <v>382</v>
      </c>
      <c r="S167" s="44">
        <v>29</v>
      </c>
      <c r="AQ167" s="59">
        <f t="shared" si="1"/>
        <v>29</v>
      </c>
      <c r="AR167" s="66" t="str">
        <f>Order!A165</f>
        <v>CN</v>
      </c>
      <c r="AS167" s="56" t="str">
        <f ca="1">IF(BA167&gt;0,_xlfn.XLOOKUP(A167,'1C'!$A:$A,'1C'!P:P,"",0,),IF(AR167&lt;&gt;"",VLOOKUP(AR167,INDIRECT(SUBSTITUTE($J167," ","")&amp;"Manufactures"),3,0),"Требуется код страны"))</f>
        <v>American Needle, Inc; 1275 Busch Parkway, Buffalo Grove, IL 60089, USA</v>
      </c>
      <c r="AT167" s="56" t="str">
        <f ca="1">IF(BA167&gt;0,_xlfn.XLOOKUP(A167,'1C'!$A:$A,'1C'!O:O,"",0),IF(AR167&lt;&gt;"",VLOOKUP(AR167,INDIRECT(SUBSTITUTE($J167," ","")&amp;"Manufactures"),2,0),"Требуется код страны"))</f>
        <v>Китай</v>
      </c>
      <c r="AU167" s="76">
        <f t="shared" si="2"/>
        <v>0.1</v>
      </c>
      <c r="AV167" s="43">
        <f t="shared" si="3"/>
        <v>0.15000000000000002</v>
      </c>
      <c r="AW167" s="43">
        <f t="shared" si="4"/>
        <v>2.9000000000000004</v>
      </c>
      <c r="AX167" s="43">
        <f t="shared" si="5"/>
        <v>4.3500000000000005</v>
      </c>
      <c r="AY167" s="155">
        <v>10.200000000000001</v>
      </c>
      <c r="AZ167" s="156">
        <f t="shared" si="6"/>
        <v>295.8</v>
      </c>
      <c r="BA167" s="45">
        <f>IF(A167&lt;&gt;"",IF(_xlfn.XLOOKUP(A167,'1C'!A:A,'1C'!A:A,0,0)&gt;0,1,0),"")</f>
        <v>0</v>
      </c>
      <c r="BB167" s="150">
        <f>IF(C167&lt;&gt;"",IF(_xlfn.XLOOKUP(C167,'1C'!S:S,'1C'!S:S,0,0)&gt;0,0,1),"")</f>
        <v>0</v>
      </c>
      <c r="BC167" s="45">
        <f t="shared" si="7"/>
        <v>1</v>
      </c>
    </row>
    <row r="168" spans="1:55" ht="119.65" customHeight="1">
      <c r="A168" s="43" t="str">
        <f t="shared" si="0"/>
        <v>43910A-CALIcamo</v>
      </c>
      <c r="B168" s="45" t="str">
        <f>IF(C168&lt;&gt;"",_xlfn.XLOOKUP(A168,'1C'!A:A,'1C'!B:B,MID(_xlfn.XLOOKUP(C168,'1C'!S:S,'1C'!B:B,"new",0),1,7)&amp;IF(BC168=1,IF(L168&lt;&gt;"",_xlfn.XLOOKUP(L168,Colors!A:A,Colors!B:B,"new",0),"требуется цвет"),""),0))</f>
        <v>06-077-56</v>
      </c>
      <c r="C168" s="44" t="s">
        <v>2206</v>
      </c>
      <c r="D168" s="43" t="str">
        <f>IF(A168&lt;&gt;"",_xlfn.XLOOKUP(C168,'1C'!S:S,'1C'!T:T,"",0),"")</f>
        <v>California</v>
      </c>
      <c r="E168" s="43" t="str">
        <f>IF(F168&lt;&gt;"",IFERROR(VLOOKUP(F168,Категории!A:B,2,0),""),"Требуется категория")</f>
        <v>Бейсболки</v>
      </c>
      <c r="F168" s="43" t="str">
        <f>IF(A168&lt;&gt;"",IF(BA168&gt;0,_xlfn.XLOOKUP(A168,'1C'!A:A,'1C'!J:J,"",0),_xlfn.XLOOKUP(C168,'1C'!S:S,'1C'!J:J,"",0)),"")</f>
        <v>Бейсболка</v>
      </c>
      <c r="G168" s="43" t="str">
        <f>IF(C168&lt;&gt;"",IF(BA168&gt;0,_xlfn.XLOOKUP(A168,'1C'!A:A,'1C'!L:L,"",0),_xlfn.XLOOKUP(C168,'1C'!S:S,'1C'!L:L,"",0)),"")</f>
        <v>AMERICAN NEEDLE-State</v>
      </c>
      <c r="H168" s="43" t="str">
        <f>IF(A168&lt;&gt;"",_xlfn.XLOOKUP(A168,'1C'!A:A,'1C'!M:M,_xlfn.XLOOKUP(C168,'1C'!S:S,'1C'!M:M,"",0),0))</f>
        <v>всесезон</v>
      </c>
      <c r="J168" s="43" t="str">
        <f>'1C'!$AF$1</f>
        <v>American Needle</v>
      </c>
      <c r="K168" s="104" t="s">
        <v>842</v>
      </c>
      <c r="L168" s="59" t="str">
        <f>IF(K168&lt;&gt;"",IFERROR(VLOOKUP(A168,'1C'!A:T,8,0),IFERROR(VLOOKUP(K168,Colors!D:E,2,0),"")),"")</f>
        <v>хаки</v>
      </c>
      <c r="M168" s="59" t="str">
        <f>IF(K168&lt;&gt;"",IFERROR(VLOOKUP(A168,'1C'!A:T,18,0),IFERROR(VLOOKUP(K168,Colors!D:E,2,0),"")),"")</f>
        <v>оливковый</v>
      </c>
      <c r="N168" s="147" t="str">
        <f>IF(A168&lt;&gt;"",_xlfn.XLOOKUP(A168,'1C'!A:A,'1C'!I:I,_xlfn.XLOOKUP(C168,'1C'!S:S,'1C'!I:I,"",0),0),"")</f>
        <v>100% хлопок</v>
      </c>
      <c r="P168" s="43" t="str">
        <f>IF(A168&lt;&gt;"",_xlfn.XLOOKUP(A168,'1C'!A:A,'1C'!N:N,_xlfn.XLOOKUP(C168,'1C'!S:S,'1C'!N:N,"",0),0),"")</f>
        <v>хлопковые</v>
      </c>
      <c r="Q168" s="59" t="s">
        <v>15</v>
      </c>
      <c r="R168" s="43" t="str">
        <f>IF(A168&lt;&gt;"",_xlfn.XLOOKUP(A168,'1C'!A:A,'1C'!K:K,_xlfn.XLOOKUP(C168,'1C'!S:S,'1C'!K:K,"",0),0),"")</f>
        <v>Унисекс</v>
      </c>
      <c r="S168" s="44">
        <v>17</v>
      </c>
      <c r="AQ168" s="59">
        <f t="shared" si="1"/>
        <v>17</v>
      </c>
      <c r="AR168" s="43" t="str">
        <f>IF(A168&lt;&gt;"",_xlfn.XLOOKUP(_xlfn.XLOOKUP(A168,'1C'!A:A,'1C'!O:O,_xlfn.XLOOKUP(C168,'1C'!S:S,'1C'!O:O,"",0),0),Settings!N:N,Settings!O:O,"",0),"")</f>
        <v>CN</v>
      </c>
      <c r="AS168" s="56" t="str">
        <f ca="1">IF(BA168&gt;0,_xlfn.XLOOKUP(A168,'1C'!$A:$A,'1C'!P:P,"",0,),IF(AR168&lt;&gt;"",VLOOKUP(AR168,INDIRECT(SUBSTITUTE($J168," ","")&amp;"Manufactures"),3,0),"Требуется код страны"))</f>
        <v>American Needle, Inc; 1275 Busch Parkway, Buffalo Grove, IL 60089, USA</v>
      </c>
      <c r="AT168" s="56" t="str">
        <f ca="1">IF(BA168&gt;0,_xlfn.XLOOKUP(A168,'1C'!$A:$A,'1C'!O:O,"",0),IF(AR168&lt;&gt;"",VLOOKUP(AR168,INDIRECT(SUBSTITUTE($J168," ","")&amp;"Manufactures"),2,0),"Требуется код страны"))</f>
        <v>Китай</v>
      </c>
      <c r="AU168" s="76">
        <f t="shared" si="2"/>
        <v>0.1</v>
      </c>
      <c r="AV168" s="43">
        <f t="shared" si="3"/>
        <v>0.15000000000000002</v>
      </c>
      <c r="AW168" s="43">
        <f t="shared" si="4"/>
        <v>1.7000000000000002</v>
      </c>
      <c r="AX168" s="43">
        <f t="shared" si="5"/>
        <v>2.5500000000000003</v>
      </c>
      <c r="AY168" s="155">
        <v>8.9252941176470575</v>
      </c>
      <c r="AZ168" s="156">
        <f t="shared" si="6"/>
        <v>151.72999999999999</v>
      </c>
      <c r="BA168" s="45">
        <f>IF(A168&lt;&gt;"",IF(_xlfn.XLOOKUP(A168,'1C'!A:A,'1C'!A:A,0,0)&gt;0,1,0),"")</f>
        <v>1</v>
      </c>
      <c r="BB168" s="150">
        <f>IF(C168&lt;&gt;"",IF(_xlfn.XLOOKUP(C168,'1C'!S:S,'1C'!S:S,0,0)&gt;0,0,1),"")</f>
        <v>0</v>
      </c>
      <c r="BC168" s="45">
        <f t="shared" si="7"/>
        <v>0</v>
      </c>
    </row>
    <row r="169" spans="1:55" ht="119.65" customHeight="1">
      <c r="A169" s="43" t="str">
        <f t="shared" si="0"/>
        <v>43910A-CALIkhaki</v>
      </c>
      <c r="B169" s="45" t="str">
        <f>IF(C169&lt;&gt;"",_xlfn.XLOOKUP(A169,'1C'!A:A,'1C'!B:B,MID(_xlfn.XLOOKUP(C169,'1C'!S:S,'1C'!B:B,"new",0),1,7)&amp;IF(BC169=1,IF(L169&lt;&gt;"",_xlfn.XLOOKUP(L169,Colors!A:A,Colors!B:B,"new",0),"требуется цвет"),""),0))</f>
        <v>06-077-02</v>
      </c>
      <c r="C169" s="44" t="s">
        <v>2206</v>
      </c>
      <c r="D169" s="43" t="str">
        <f>IF(A169&lt;&gt;"",_xlfn.XLOOKUP(C169,'1C'!S:S,'1C'!T:T,"",0),"")</f>
        <v>California</v>
      </c>
      <c r="E169" s="43" t="str">
        <f>IF(F169&lt;&gt;"",IFERROR(VLOOKUP(F169,Категории!A:B,2,0),""),"Требуется категория")</f>
        <v>Бейсболки</v>
      </c>
      <c r="F169" s="43" t="str">
        <f>IF(A169&lt;&gt;"",IF(BA169&gt;0,_xlfn.XLOOKUP(A169,'1C'!A:A,'1C'!J:J,"",0),_xlfn.XLOOKUP(C169,'1C'!S:S,'1C'!J:J,"",0)),"")</f>
        <v>Бейсболка</v>
      </c>
      <c r="G169" s="43" t="str">
        <f>IF(C169&lt;&gt;"",IF(BA169&gt;0,_xlfn.XLOOKUP(A169,'1C'!A:A,'1C'!L:L,"",0),_xlfn.XLOOKUP(C169,'1C'!S:S,'1C'!L:L,"",0)),"")</f>
        <v>AMERICAN NEEDLE-State</v>
      </c>
      <c r="H169" s="43" t="str">
        <f>IF(A169&lt;&gt;"",_xlfn.XLOOKUP(A169,'1C'!A:A,'1C'!M:M,_xlfn.XLOOKUP(C169,'1C'!S:S,'1C'!M:M,"",0),0))</f>
        <v>всесезон</v>
      </c>
      <c r="J169" s="43" t="str">
        <f>'1C'!$AF$1</f>
        <v>American Needle</v>
      </c>
      <c r="K169" s="104" t="s">
        <v>2262</v>
      </c>
      <c r="L169" s="58" t="s">
        <v>63</v>
      </c>
      <c r="M169" s="58" t="s">
        <v>63</v>
      </c>
      <c r="N169" s="147" t="str">
        <f>IF(A169&lt;&gt;"",_xlfn.XLOOKUP(A169,'1C'!A:A,'1C'!I:I,_xlfn.XLOOKUP(C169,'1C'!S:S,'1C'!I:I,"",0),0),"")</f>
        <v>100% хлопок</v>
      </c>
      <c r="P169" s="43" t="str">
        <f>IF(A169&lt;&gt;"",_xlfn.XLOOKUP(A169,'1C'!A:A,'1C'!N:N,_xlfn.XLOOKUP(C169,'1C'!S:S,'1C'!N:N,"",0),0),"")</f>
        <v>хлопковые</v>
      </c>
      <c r="Q169" s="59" t="s">
        <v>15</v>
      </c>
      <c r="R169" s="43" t="str">
        <f>IF(A169&lt;&gt;"",_xlfn.XLOOKUP(A169,'1C'!A:A,'1C'!K:K,_xlfn.XLOOKUP(C169,'1C'!S:S,'1C'!K:K,"",0),0),"")</f>
        <v>Унисекс</v>
      </c>
      <c r="S169" s="44">
        <v>23</v>
      </c>
      <c r="AQ169" s="59">
        <f t="shared" si="1"/>
        <v>23</v>
      </c>
      <c r="AR169" s="43" t="str">
        <f>IF(A169&lt;&gt;"",_xlfn.XLOOKUP(_xlfn.XLOOKUP(A169,'1C'!A:A,'1C'!O:O,_xlfn.XLOOKUP(C169,'1C'!S:S,'1C'!O:O,"",0),0),Settings!N:N,Settings!O:O,"",0),"")</f>
        <v>CN</v>
      </c>
      <c r="AS169" s="56" t="str">
        <f ca="1">IF(BA169&gt;0,_xlfn.XLOOKUP(A169,'1C'!$A:$A,'1C'!P:P,"",0,),IF(AR169&lt;&gt;"",VLOOKUP(AR169,INDIRECT(SUBSTITUTE($J169," ","")&amp;"Manufactures"),3,0),"Требуется код страны"))</f>
        <v>American Needle, Inc; 1275 Busch Parkway, Buffalo Grove, IL 60089, USA</v>
      </c>
      <c r="AT169" s="56" t="str">
        <f ca="1">IF(BA169&gt;0,_xlfn.XLOOKUP(A169,'1C'!$A:$A,'1C'!O:O,"",0),IF(AR169&lt;&gt;"",VLOOKUP(AR169,INDIRECT(SUBSTITUTE($J169," ","")&amp;"Manufactures"),2,0),"Требуется код страны"))</f>
        <v>Китай</v>
      </c>
      <c r="AU169" s="76">
        <f t="shared" si="2"/>
        <v>0.1</v>
      </c>
      <c r="AV169" s="43">
        <f t="shared" si="3"/>
        <v>0.15000000000000002</v>
      </c>
      <c r="AW169" s="43">
        <f t="shared" si="4"/>
        <v>2.3000000000000003</v>
      </c>
      <c r="AX169" s="43">
        <f t="shared" si="5"/>
        <v>3.4500000000000006</v>
      </c>
      <c r="AY169" s="155">
        <v>8.9252173913043471</v>
      </c>
      <c r="AZ169" s="156">
        <f t="shared" si="6"/>
        <v>205.27999999999997</v>
      </c>
      <c r="BA169" s="45">
        <f>IF(A169&lt;&gt;"",IF(_xlfn.XLOOKUP(A169,'1C'!A:A,'1C'!A:A,0,0)&gt;0,1,0),"")</f>
        <v>0</v>
      </c>
      <c r="BB169" s="150">
        <f>IF(C169&lt;&gt;"",IF(_xlfn.XLOOKUP(C169,'1C'!S:S,'1C'!S:S,0,0)&gt;0,0,1),"")</f>
        <v>0</v>
      </c>
      <c r="BC169" s="45">
        <f t="shared" si="7"/>
        <v>1</v>
      </c>
    </row>
    <row r="170" spans="1:55" ht="119.65" customHeight="1">
      <c r="A170" s="43" t="str">
        <f t="shared" si="0"/>
        <v>43910A-GNPseafoam</v>
      </c>
      <c r="B170" s="45" t="str">
        <f>IF(C170&lt;&gt;"",_xlfn.XLOOKUP(A170,'1C'!A:A,'1C'!B:B,MID(_xlfn.XLOOKUP(C170,'1C'!S:S,'1C'!B:B,"new",0),1,7)&amp;IF(BC170=1,IF(L170&lt;&gt;"",_xlfn.XLOOKUP(L170,Colors!A:A,Colors!B:B,"new",0),"требуется цвет"),""),0))</f>
        <v>06-287-19</v>
      </c>
      <c r="C170" s="44" t="s">
        <v>2207</v>
      </c>
      <c r="D170" s="43" t="str">
        <f>IF(A170&lt;&gt;"",_xlfn.XLOOKUP(C170,'1C'!S:S,'1C'!T:T,"",0),"")</f>
        <v>Glacier National Park Iconic</v>
      </c>
      <c r="E170" s="43" t="str">
        <f>IF(F170&lt;&gt;"",IFERROR(VLOOKUP(F170,Категории!A:B,2,0),""),"Требуется категория")</f>
        <v>Бейсболки</v>
      </c>
      <c r="F170" s="43" t="str">
        <f>IF(A170&lt;&gt;"",IF(BA170&gt;0,_xlfn.XLOOKUP(A170,'1C'!A:A,'1C'!J:J,"",0),_xlfn.XLOOKUP(C170,'1C'!S:S,'1C'!J:J,"",0)),"")</f>
        <v>Бейсболка</v>
      </c>
      <c r="G170" s="43" t="str">
        <f>IF(C170&lt;&gt;"",IF(BA170&gt;0,_xlfn.XLOOKUP(A170,'1C'!A:A,'1C'!L:L,"",0),_xlfn.XLOOKUP(C170,'1C'!S:S,'1C'!L:L,"",0)),"")</f>
        <v>State</v>
      </c>
      <c r="H170" s="43" t="str">
        <f>IF(A170&lt;&gt;"",_xlfn.XLOOKUP(A170,'1C'!A:A,'1C'!M:M,_xlfn.XLOOKUP(C170,'1C'!S:S,'1C'!M:M,"",0),0))</f>
        <v>всесезон</v>
      </c>
      <c r="J170" s="43" t="str">
        <f>'1C'!$AF$1</f>
        <v>American Needle</v>
      </c>
      <c r="K170" s="104" t="s">
        <v>1372</v>
      </c>
      <c r="L170" s="59" t="str">
        <f>IF(K170&lt;&gt;"",IFERROR(VLOOKUP(A170,'1C'!A:T,8,0),IFERROR(VLOOKUP(K170,Colors!D:E,2,0),"")),"")</f>
        <v>голубой</v>
      </c>
      <c r="M170" s="59" t="str">
        <f>IF(K170&lt;&gt;"",IFERROR(VLOOKUP(A170,'1C'!A:T,18,0),IFERROR(VLOOKUP(K170,Colors!D:E,2,0),"")),"")</f>
        <v>голубой</v>
      </c>
      <c r="N170" s="147" t="str">
        <f>IF(A170&lt;&gt;"",_xlfn.XLOOKUP(A170,'1C'!A:A,'1C'!I:I,_xlfn.XLOOKUP(C170,'1C'!S:S,'1C'!I:I,"",0),0),"")</f>
        <v>100% хлопок</v>
      </c>
      <c r="P170" s="43" t="str">
        <f>IF(A170&lt;&gt;"",_xlfn.XLOOKUP(A170,'1C'!A:A,'1C'!N:N,_xlfn.XLOOKUP(C170,'1C'!S:S,'1C'!N:N,"",0),0),"")</f>
        <v>хлопковые</v>
      </c>
      <c r="Q170" s="59" t="s">
        <v>15</v>
      </c>
      <c r="R170" s="43" t="str">
        <f>IF(A170&lt;&gt;"",_xlfn.XLOOKUP(A170,'1C'!A:A,'1C'!K:K,_xlfn.XLOOKUP(C170,'1C'!S:S,'1C'!K:K,"",0),0),"")</f>
        <v>Унисекс</v>
      </c>
      <c r="S170" s="44">
        <v>6</v>
      </c>
      <c r="AQ170" s="59">
        <f t="shared" si="1"/>
        <v>6</v>
      </c>
      <c r="AR170" s="43" t="str">
        <f>IF(A170&lt;&gt;"",_xlfn.XLOOKUP(_xlfn.XLOOKUP(A170,'1C'!A:A,'1C'!O:O,_xlfn.XLOOKUP(C170,'1C'!S:S,'1C'!O:O,"",0),0),Settings!N:N,Settings!O:O,"",0),"")</f>
        <v>CN</v>
      </c>
      <c r="AS170" s="56" t="str">
        <f ca="1">IF(BA170&gt;0,_xlfn.XLOOKUP(A170,'1C'!$A:$A,'1C'!P:P,"",0,),IF(AR170&lt;&gt;"",VLOOKUP(AR170,INDIRECT(SUBSTITUTE($J170," ","")&amp;"Manufactures"),3,0),"Требуется код страны"))</f>
        <v>American Needle, Inc; 1275 Busch Parkway, Buffalo Grove, IL 60089, USA</v>
      </c>
      <c r="AT170" s="56" t="str">
        <f ca="1">IF(BA170&gt;0,_xlfn.XLOOKUP(A170,'1C'!$A:$A,'1C'!O:O,"",0),IF(AR170&lt;&gt;"",VLOOKUP(AR170,INDIRECT(SUBSTITUTE($J170," ","")&amp;"Manufactures"),2,0),"Требуется код страны"))</f>
        <v>Китай</v>
      </c>
      <c r="AU170" s="76">
        <f t="shared" si="2"/>
        <v>0.1</v>
      </c>
      <c r="AV170" s="43">
        <f t="shared" si="3"/>
        <v>0.15000000000000002</v>
      </c>
      <c r="AW170" s="43">
        <f t="shared" si="4"/>
        <v>0.60000000000000009</v>
      </c>
      <c r="AX170" s="43">
        <f t="shared" si="5"/>
        <v>0.90000000000000013</v>
      </c>
      <c r="AY170" s="155">
        <v>9.35</v>
      </c>
      <c r="AZ170" s="156">
        <f t="shared" si="6"/>
        <v>56.099999999999994</v>
      </c>
      <c r="BA170" s="45">
        <f>IF(A170&lt;&gt;"",IF(_xlfn.XLOOKUP(A170,'1C'!A:A,'1C'!A:A,0,0)&gt;0,1,0),"")</f>
        <v>1</v>
      </c>
      <c r="BB170" s="150">
        <f>IF(C170&lt;&gt;"",IF(_xlfn.XLOOKUP(C170,'1C'!S:S,'1C'!S:S,0,0)&gt;0,0,1),"")</f>
        <v>0</v>
      </c>
      <c r="BC170" s="45">
        <f t="shared" si="7"/>
        <v>0</v>
      </c>
    </row>
    <row r="171" spans="1:55" ht="119.65" customHeight="1">
      <c r="A171" s="43" t="str">
        <f t="shared" si="0"/>
        <v>43912A-LAKblack</v>
      </c>
      <c r="B171" s="45" t="str">
        <f>IF(C171&lt;&gt;"",_xlfn.XLOOKUP(A171,'1C'!A:A,'1C'!B:B,MID(_xlfn.XLOOKUP(C171,'1C'!S:S,'1C'!B:B,"new",0),1,7)&amp;IF(BC171=1,IF(L171&lt;&gt;"",_xlfn.XLOOKUP(L171,Colors!A:A,Colors!B:B,"new",0),"требуется цвет"),""),0))</f>
        <v>06-290-09</v>
      </c>
      <c r="C171" s="44" t="s">
        <v>2208</v>
      </c>
      <c r="D171" s="43" t="str">
        <f>IF(A171&lt;&gt;"",_xlfn.XLOOKUP(C171,'1C'!S:S,'1C'!T:T,"",0),"")</f>
        <v>Los Angeles Kings Iconic NHL</v>
      </c>
      <c r="E171" s="43" t="str">
        <f>IF(F171&lt;&gt;"",IFERROR(VLOOKUP(F171,Категории!A:B,2,0),""),"Требуется категория")</f>
        <v>Бейсболки</v>
      </c>
      <c r="F171" s="43" t="str">
        <f>IF(A171&lt;&gt;"",IF(BA171&gt;0,_xlfn.XLOOKUP(A171,'1C'!A:A,'1C'!J:J,"",0),_xlfn.XLOOKUP(C171,'1C'!S:S,'1C'!J:J,"",0)),"")</f>
        <v>Бейсболка</v>
      </c>
      <c r="G171" s="43" t="str">
        <f>IF(C171&lt;&gt;"",IF(BA171&gt;0,_xlfn.XLOOKUP(A171,'1C'!A:A,'1C'!L:L,"",0),_xlfn.XLOOKUP(C171,'1C'!S:S,'1C'!L:L,"",0)),"")</f>
        <v>Sport</v>
      </c>
      <c r="H171" s="43" t="str">
        <f>IF(A171&lt;&gt;"",_xlfn.XLOOKUP(A171,'1C'!A:A,'1C'!M:M,_xlfn.XLOOKUP(C171,'1C'!S:S,'1C'!M:M,"",0),0))</f>
        <v>всесезон</v>
      </c>
      <c r="J171" s="43" t="str">
        <f>'1C'!$AF$1</f>
        <v>American Needle</v>
      </c>
      <c r="K171" s="104" t="s">
        <v>819</v>
      </c>
      <c r="L171" s="59" t="str">
        <f>IF(K171&lt;&gt;"",IFERROR(VLOOKUP(A171,'1C'!A:T,8,0),IFERROR(VLOOKUP(K171,Colors!D:E,2,0),"")),"")</f>
        <v>черный</v>
      </c>
      <c r="M171" s="59" t="str">
        <f>IF(K171&lt;&gt;"",IFERROR(VLOOKUP(A171,'1C'!A:T,18,0),IFERROR(VLOOKUP(K171,Colors!D:E,2,0),"")),"")</f>
        <v>черный</v>
      </c>
      <c r="N171" s="147" t="str">
        <f>IF(A171&lt;&gt;"",_xlfn.XLOOKUP(A171,'1C'!A:A,'1C'!I:I,_xlfn.XLOOKUP(C171,'1C'!S:S,'1C'!I:I,"",0),0),"")</f>
        <v>100% хлопок</v>
      </c>
      <c r="P171" s="43" t="str">
        <f>IF(A171&lt;&gt;"",_xlfn.XLOOKUP(A171,'1C'!A:A,'1C'!N:N,_xlfn.XLOOKUP(C171,'1C'!S:S,'1C'!N:N,"",0),0),"")</f>
        <v>хлопковые</v>
      </c>
      <c r="Q171" s="59" t="s">
        <v>15</v>
      </c>
      <c r="R171" s="43" t="str">
        <f>IF(A171&lt;&gt;"",_xlfn.XLOOKUP(A171,'1C'!A:A,'1C'!K:K,_xlfn.XLOOKUP(C171,'1C'!S:S,'1C'!K:K,"",0),0),"")</f>
        <v>Унисекс</v>
      </c>
      <c r="S171" s="44">
        <v>24</v>
      </c>
      <c r="AQ171" s="59">
        <f t="shared" si="1"/>
        <v>24</v>
      </c>
      <c r="AR171" s="43" t="str">
        <f>IF(A171&lt;&gt;"",_xlfn.XLOOKUP(_xlfn.XLOOKUP(A171,'1C'!A:A,'1C'!O:O,_xlfn.XLOOKUP(C171,'1C'!S:S,'1C'!O:O,"",0),0),Settings!N:N,Settings!O:O,"",0),"")</f>
        <v>CN</v>
      </c>
      <c r="AS171" s="56" t="str">
        <f ca="1">IF(BA171&gt;0,_xlfn.XLOOKUP(A171,'1C'!$A:$A,'1C'!P:P,"",0,),IF(AR171&lt;&gt;"",VLOOKUP(AR171,INDIRECT(SUBSTITUTE($J171," ","")&amp;"Manufactures"),3,0),"Требуется код страны"))</f>
        <v>American Needle, Inc; 1275 Busch Parkway, Buffalo Grove, IL 60089, USA</v>
      </c>
      <c r="AT171" s="56" t="str">
        <f ca="1">IF(BA171&gt;0,_xlfn.XLOOKUP(A171,'1C'!$A:$A,'1C'!O:O,"",0),IF(AR171&lt;&gt;"",VLOOKUP(AR171,INDIRECT(SUBSTITUTE($J171," ","")&amp;"Manufactures"),2,0),"Требуется код страны"))</f>
        <v>Китай</v>
      </c>
      <c r="AU171" s="76">
        <f t="shared" si="2"/>
        <v>0.1</v>
      </c>
      <c r="AV171" s="43">
        <f t="shared" si="3"/>
        <v>0.15000000000000002</v>
      </c>
      <c r="AW171" s="43">
        <f t="shared" si="4"/>
        <v>2.4000000000000004</v>
      </c>
      <c r="AX171" s="43">
        <f t="shared" si="5"/>
        <v>3.6000000000000005</v>
      </c>
      <c r="AY171" s="155">
        <v>13.6</v>
      </c>
      <c r="AZ171" s="156">
        <f t="shared" si="6"/>
        <v>326.39999999999998</v>
      </c>
      <c r="BA171" s="45">
        <f>IF(A171&lt;&gt;"",IF(_xlfn.XLOOKUP(A171,'1C'!A:A,'1C'!A:A,0,0)&gt;0,1,0),"")</f>
        <v>1</v>
      </c>
      <c r="BB171" s="150">
        <f>IF(C171&lt;&gt;"",IF(_xlfn.XLOOKUP(C171,'1C'!S:S,'1C'!S:S,0,0)&gt;0,0,1),"")</f>
        <v>0</v>
      </c>
      <c r="BC171" s="45">
        <f t="shared" si="7"/>
        <v>0</v>
      </c>
    </row>
    <row r="172" spans="1:55" ht="119.65" customHeight="1">
      <c r="A172" s="43" t="str">
        <f t="shared" si="0"/>
        <v>43912A-VGKblack</v>
      </c>
      <c r="B172" s="45" t="str">
        <f>IF(C172&lt;&gt;"",_xlfn.XLOOKUP(A172,'1C'!A:A,'1C'!B:B,MID(_xlfn.XLOOKUP(C172,'1C'!S:S,'1C'!B:B,"new",0),1,7)&amp;IF(BC172=1,IF(L172&lt;&gt;"",_xlfn.XLOOKUP(L172,Colors!A:A,Colors!B:B,"new",0),"требуется цвет"),""),0))</f>
        <v>06-292-09</v>
      </c>
      <c r="C172" s="44" t="s">
        <v>2209</v>
      </c>
      <c r="D172" s="43" t="str">
        <f>IF(A172&lt;&gt;"",_xlfn.XLOOKUP(C172,'1C'!S:S,'1C'!T:T,"",0),"")</f>
        <v>Vegas Golden Knights Iconic NHL</v>
      </c>
      <c r="E172" s="43" t="str">
        <f>IF(F172&lt;&gt;"",IFERROR(VLOOKUP(F172,Категории!A:B,2,0),""),"Требуется категория")</f>
        <v>Бейсболки</v>
      </c>
      <c r="F172" s="43" t="str">
        <f>IF(A172&lt;&gt;"",IF(BA172&gt;0,_xlfn.XLOOKUP(A172,'1C'!A:A,'1C'!J:J,"",0),_xlfn.XLOOKUP(C172,'1C'!S:S,'1C'!J:J,"",0)),"")</f>
        <v>Бейсболка</v>
      </c>
      <c r="G172" s="43" t="str">
        <f>IF(C172&lt;&gt;"",IF(BA172&gt;0,_xlfn.XLOOKUP(A172,'1C'!A:A,'1C'!L:L,"",0),_xlfn.XLOOKUP(C172,'1C'!S:S,'1C'!L:L,"",0)),"")</f>
        <v>Sport</v>
      </c>
      <c r="H172" s="43" t="str">
        <f>IF(A172&lt;&gt;"",_xlfn.XLOOKUP(A172,'1C'!A:A,'1C'!M:M,_xlfn.XLOOKUP(C172,'1C'!S:S,'1C'!M:M,"",0),0))</f>
        <v>всесезон</v>
      </c>
      <c r="J172" s="43" t="str">
        <f>'1C'!$AF$1</f>
        <v>American Needle</v>
      </c>
      <c r="K172" s="104" t="s">
        <v>819</v>
      </c>
      <c r="L172" s="59" t="str">
        <f>IF(K172&lt;&gt;"",IFERROR(VLOOKUP(A172,'1C'!A:T,8,0),IFERROR(VLOOKUP(K172,Colors!D:E,2,0),"")),"")</f>
        <v>черный</v>
      </c>
      <c r="M172" s="59" t="str">
        <f>IF(K172&lt;&gt;"",IFERROR(VLOOKUP(A172,'1C'!A:T,18,0),IFERROR(VLOOKUP(K172,Colors!D:E,2,0),"")),"")</f>
        <v>черный</v>
      </c>
      <c r="N172" s="147" t="str">
        <f>IF(A172&lt;&gt;"",_xlfn.XLOOKUP(A172,'1C'!A:A,'1C'!I:I,_xlfn.XLOOKUP(C172,'1C'!S:S,'1C'!I:I,"",0),0),"")</f>
        <v>100% хлопок</v>
      </c>
      <c r="P172" s="43" t="str">
        <f>IF(A172&lt;&gt;"",_xlfn.XLOOKUP(A172,'1C'!A:A,'1C'!N:N,_xlfn.XLOOKUP(C172,'1C'!S:S,'1C'!N:N,"",0),0),"")</f>
        <v>хлопковые</v>
      </c>
      <c r="Q172" s="59" t="s">
        <v>15</v>
      </c>
      <c r="R172" s="43" t="str">
        <f>IF(A172&lt;&gt;"",_xlfn.XLOOKUP(A172,'1C'!A:A,'1C'!K:K,_xlfn.XLOOKUP(C172,'1C'!S:S,'1C'!K:K,"",0),0),"")</f>
        <v>Унисекс</v>
      </c>
      <c r="S172" s="44">
        <v>18</v>
      </c>
      <c r="AQ172" s="59">
        <f t="shared" si="1"/>
        <v>18</v>
      </c>
      <c r="AR172" s="43" t="str">
        <f>IF(A172&lt;&gt;"",_xlfn.XLOOKUP(_xlfn.XLOOKUP(A172,'1C'!A:A,'1C'!O:O,_xlfn.XLOOKUP(C172,'1C'!S:S,'1C'!O:O,"",0),0),Settings!N:N,Settings!O:O,"",0),"")</f>
        <v>CN</v>
      </c>
      <c r="AS172" s="56" t="str">
        <f ca="1">IF(BA172&gt;0,_xlfn.XLOOKUP(A172,'1C'!$A:$A,'1C'!P:P,"",0,),IF(AR172&lt;&gt;"",VLOOKUP(AR172,INDIRECT(SUBSTITUTE($J172," ","")&amp;"Manufactures"),3,0),"Требуется код страны"))</f>
        <v>American Needle, Inc; 1275 Busch Parkway, Buffalo Grove, IL 60089, USA</v>
      </c>
      <c r="AT172" s="56" t="str">
        <f ca="1">IF(BA172&gt;0,_xlfn.XLOOKUP(A172,'1C'!$A:$A,'1C'!O:O,"",0),IF(AR172&lt;&gt;"",VLOOKUP(AR172,INDIRECT(SUBSTITUTE($J172," ","")&amp;"Manufactures"),2,0),"Требуется код страны"))</f>
        <v>Китай</v>
      </c>
      <c r="AU172" s="76">
        <f t="shared" si="2"/>
        <v>0.1</v>
      </c>
      <c r="AV172" s="43">
        <f t="shared" si="3"/>
        <v>0.15000000000000002</v>
      </c>
      <c r="AW172" s="43">
        <f t="shared" si="4"/>
        <v>1.8</v>
      </c>
      <c r="AX172" s="43">
        <f t="shared" si="5"/>
        <v>2.7</v>
      </c>
      <c r="AY172" s="155">
        <v>13.600000000000001</v>
      </c>
      <c r="AZ172" s="156">
        <f t="shared" si="6"/>
        <v>244.8</v>
      </c>
      <c r="BA172" s="45">
        <f>IF(A172&lt;&gt;"",IF(_xlfn.XLOOKUP(A172,'1C'!A:A,'1C'!A:A,0,0)&gt;0,1,0),"")</f>
        <v>1</v>
      </c>
      <c r="BB172" s="150">
        <f>IF(C172&lt;&gt;"",IF(_xlfn.XLOOKUP(C172,'1C'!S:S,'1C'!S:S,0,0)&gt;0,0,1),"")</f>
        <v>0</v>
      </c>
      <c r="BC172" s="45">
        <f t="shared" si="7"/>
        <v>0</v>
      </c>
    </row>
    <row r="173" spans="1:55" ht="115.7" customHeight="1">
      <c r="A173" s="43" t="str">
        <f t="shared" si="0"/>
        <v>44590A-TXroyal</v>
      </c>
      <c r="B173" s="45" t="str">
        <f>IF(C173&lt;&gt;"",_xlfn.XLOOKUP(A173,'1C'!A:A,'1C'!B:B,MID(_xlfn.XLOOKUP(C173,'1C'!S:S,'1C'!B:B,"new",0),1,7)&amp;IF(BC173=1,IF(L173&lt;&gt;"",_xlfn.XLOOKUP(L173,Colors!A:A,Colors!B:B,"new",0),"требуется цвет"),""),0))</f>
        <v>06-451-06</v>
      </c>
      <c r="C173" s="44" t="s">
        <v>2210</v>
      </c>
      <c r="D173" s="43" t="str">
        <f>VLOOKUP(C173,Names!A:B,2,0)</f>
        <v>TEXAS Durham</v>
      </c>
      <c r="E173" s="43" t="str">
        <f>IF(F173&lt;&gt;"",IFERROR(VLOOKUP(F173,Категории!A:B,2,0),""),"Требуется категория")</f>
        <v>Бейсболки</v>
      </c>
      <c r="F173" s="44" t="s">
        <v>327</v>
      </c>
      <c r="G173" s="44" t="s">
        <v>884</v>
      </c>
      <c r="H173" s="44" t="s">
        <v>388</v>
      </c>
      <c r="J173" s="43" t="str">
        <f>'1C'!$AF$1</f>
        <v>American Needle</v>
      </c>
      <c r="K173" s="104" t="s">
        <v>1576</v>
      </c>
      <c r="L173" s="58" t="s">
        <v>71</v>
      </c>
      <c r="M173" s="58" t="s">
        <v>71</v>
      </c>
      <c r="N173" s="141" t="str">
        <f>Order!B171</f>
        <v>100% Хлопок</v>
      </c>
      <c r="P173" s="44" t="s">
        <v>43</v>
      </c>
      <c r="Q173" s="59" t="s">
        <v>15</v>
      </c>
      <c r="R173" s="58" t="s">
        <v>382</v>
      </c>
      <c r="S173" s="44">
        <v>9</v>
      </c>
      <c r="AQ173" s="59">
        <f t="shared" si="1"/>
        <v>9</v>
      </c>
      <c r="AR173" s="66" t="str">
        <f>Order!A171</f>
        <v>CN</v>
      </c>
      <c r="AS173" s="56" t="str">
        <f ca="1">IF(BA173&gt;0,_xlfn.XLOOKUP(A173,'1C'!$A:$A,'1C'!P:P,"",0,),IF(AR173&lt;&gt;"",VLOOKUP(AR173,INDIRECT(SUBSTITUTE($J173," ","")&amp;"Manufactures"),3,0),"Требуется код страны"))</f>
        <v>American Needle, Inc; 1275 Busch Parkway, Buffalo Grove, IL 60089, USA</v>
      </c>
      <c r="AT173" s="56" t="str">
        <f ca="1">IF(BA173&gt;0,_xlfn.XLOOKUP(A173,'1C'!$A:$A,'1C'!O:O,"",0),IF(AR173&lt;&gt;"",VLOOKUP(AR173,INDIRECT(SUBSTITUTE($J173," ","")&amp;"Manufactures"),2,0),"Требуется код страны"))</f>
        <v>Китай</v>
      </c>
      <c r="AU173" s="76">
        <f t="shared" si="2"/>
        <v>0.1</v>
      </c>
      <c r="AV173" s="43">
        <f t="shared" si="3"/>
        <v>0.15000000000000002</v>
      </c>
      <c r="AW173" s="43">
        <f t="shared" si="4"/>
        <v>0.9</v>
      </c>
      <c r="AX173" s="43">
        <f t="shared" si="5"/>
        <v>1.35</v>
      </c>
      <c r="AY173" s="155">
        <v>6.8000000000000007</v>
      </c>
      <c r="AZ173" s="156">
        <f t="shared" si="6"/>
        <v>61.2</v>
      </c>
      <c r="BA173" s="45">
        <f>IF(A173&lt;&gt;"",IF(_xlfn.XLOOKUP(A173,'1C'!A:A,'1C'!A:A,0,0)&gt;0,1,0),"")</f>
        <v>0</v>
      </c>
      <c r="BB173" s="150">
        <f>IF(C173&lt;&gt;"",IF(_xlfn.XLOOKUP(C173,'1C'!S:S,'1C'!S:S,0,0)&gt;0,0,1),"")</f>
        <v>0</v>
      </c>
      <c r="BC173" s="45">
        <f t="shared" si="7"/>
        <v>1</v>
      </c>
    </row>
    <row r="174" spans="1:55" ht="119.65" customHeight="1">
      <c r="A174" s="43" t="str">
        <f t="shared" si="0"/>
        <v>44740A-ANAbldr</v>
      </c>
      <c r="B174" s="45" t="str">
        <f>IF(C174&lt;&gt;"",_xlfn.XLOOKUP(A174,'1C'!A:A,'1C'!B:B,MID(_xlfn.XLOOKUP(C174,'1C'!S:S,'1C'!B:B,"new",0),1,7)&amp;IF(BC174=1,IF(L174&lt;&gt;"",_xlfn.XLOOKUP(L174,Colors!A:A,Colors!B:B,"new",0),"требуется цвет"),""),0))</f>
        <v>06-084-72</v>
      </c>
      <c r="C174" s="44" t="s">
        <v>2211</v>
      </c>
      <c r="D174" s="43" t="str">
        <f>IF(A174&lt;&gt;"",_xlfn.XLOOKUP(C174,'1C'!S:S,'1C'!T:T,"",0),"")</f>
        <v>Anaheim Aces Archive MILB</v>
      </c>
      <c r="E174" s="43" t="str">
        <f>IF(F174&lt;&gt;"",IFERROR(VLOOKUP(F174,Категории!A:B,2,0),""),"Требуется категория")</f>
        <v>Бейсболки</v>
      </c>
      <c r="F174" s="43" t="str">
        <f>IF(A174&lt;&gt;"",IF(BA174&gt;0,_xlfn.XLOOKUP(A174,'1C'!A:A,'1C'!J:J,"",0),_xlfn.XLOOKUP(C174,'1C'!S:S,'1C'!J:J,"",0)),"")</f>
        <v>Бейсболка</v>
      </c>
      <c r="G174" s="43" t="str">
        <f>IF(C174&lt;&gt;"",IF(BA174&gt;0,_xlfn.XLOOKUP(A174,'1C'!A:A,'1C'!L:L,"",0),_xlfn.XLOOKUP(C174,'1C'!S:S,'1C'!L:L,"",0)),"")</f>
        <v>Sport</v>
      </c>
      <c r="H174" s="43" t="str">
        <f>IF(A174&lt;&gt;"",_xlfn.XLOOKUP(A174,'1C'!A:A,'1C'!M:M,_xlfn.XLOOKUP(C174,'1C'!S:S,'1C'!M:M,"",0),0))</f>
        <v>всесезон</v>
      </c>
      <c r="J174" s="43" t="str">
        <f>'1C'!$AF$1</f>
        <v>American Needle</v>
      </c>
      <c r="K174" s="104" t="s">
        <v>1192</v>
      </c>
      <c r="L174" s="59" t="str">
        <f>IF(K174&lt;&gt;"",IFERROR(VLOOKUP(A174,'1C'!A:T,8,0),IFERROR(VLOOKUP(K174,Colors!D:E,2,0),"")),"")</f>
        <v>черный / красный</v>
      </c>
      <c r="M174" s="59" t="str">
        <f>IF(K174&lt;&gt;"",IFERROR(VLOOKUP(A174,'1C'!A:T,18,0),IFERROR(VLOOKUP(K174,Colors!D:E,2,0),"")),"")</f>
        <v>черный</v>
      </c>
      <c r="N174" s="147" t="str">
        <f>IF(A174&lt;&gt;"",_xlfn.XLOOKUP(A174,'1C'!A:A,'1C'!I:I,_xlfn.XLOOKUP(C174,'1C'!S:S,'1C'!I:I,"",0),0),"")</f>
        <v>100% хлопок</v>
      </c>
      <c r="P174" s="43" t="str">
        <f>IF(A174&lt;&gt;"",_xlfn.XLOOKUP(A174,'1C'!A:A,'1C'!N:N,_xlfn.XLOOKUP(C174,'1C'!S:S,'1C'!N:N,"",0),0),"")</f>
        <v>хлопковые</v>
      </c>
      <c r="Q174" s="59" t="s">
        <v>15</v>
      </c>
      <c r="R174" s="43" t="str">
        <f>IF(A174&lt;&gt;"",_xlfn.XLOOKUP(A174,'1C'!A:A,'1C'!K:K,_xlfn.XLOOKUP(C174,'1C'!S:S,'1C'!K:K,"",0),0),"")</f>
        <v>Унисекс</v>
      </c>
      <c r="S174" s="44">
        <v>76</v>
      </c>
      <c r="AQ174" s="59">
        <f t="shared" si="1"/>
        <v>76</v>
      </c>
      <c r="AR174" s="43" t="str">
        <f>IF(A174&lt;&gt;"",_xlfn.XLOOKUP(_xlfn.XLOOKUP(A174,'1C'!A:A,'1C'!O:O,_xlfn.XLOOKUP(C174,'1C'!S:S,'1C'!O:O,"",0),0),Settings!N:N,Settings!O:O,"",0),"")</f>
        <v>BD</v>
      </c>
      <c r="AS174" s="56" t="str">
        <f ca="1">IF(BA174&gt;0,_xlfn.XLOOKUP(A174,'1C'!$A:$A,'1C'!P:P,"",0,),IF(AR174&lt;&gt;"",VLOOKUP(AR174,INDIRECT(SUBSTITUTE($J174," ","")&amp;"Manufactures"),3,0),"Требуется код страны"))</f>
        <v>American Needle, Inc; 1275 Busch Parkway, Buffalo Grove, IL 60089, USA</v>
      </c>
      <c r="AT174" s="56" t="str">
        <f ca="1">IF(BA174&gt;0,_xlfn.XLOOKUP(A174,'1C'!$A:$A,'1C'!O:O,"",0),IF(AR174&lt;&gt;"",VLOOKUP(AR174,INDIRECT(SUBSTITUTE($J174," ","")&amp;"Manufactures"),2,0),"Требуется код страны"))</f>
        <v>Бангладеш</v>
      </c>
      <c r="AU174" s="76">
        <f t="shared" si="2"/>
        <v>0.1</v>
      </c>
      <c r="AV174" s="43">
        <f t="shared" si="3"/>
        <v>0.15000000000000002</v>
      </c>
      <c r="AW174" s="43">
        <f t="shared" si="4"/>
        <v>7.6000000000000005</v>
      </c>
      <c r="AX174" s="43">
        <f t="shared" si="5"/>
        <v>11.400000000000002</v>
      </c>
      <c r="AY174" s="155">
        <v>8.2874999999999996</v>
      </c>
      <c r="AZ174" s="156">
        <f t="shared" si="6"/>
        <v>629.85</v>
      </c>
      <c r="BA174" s="45">
        <f>IF(A174&lt;&gt;"",IF(_xlfn.XLOOKUP(A174,'1C'!A:A,'1C'!A:A,0,0)&gt;0,1,0),"")</f>
        <v>1</v>
      </c>
      <c r="BB174" s="150">
        <f>IF(C174&lt;&gt;"",IF(_xlfn.XLOOKUP(C174,'1C'!S:S,'1C'!S:S,0,0)&gt;0,0,1),"")</f>
        <v>0</v>
      </c>
      <c r="BC174" s="45">
        <f t="shared" si="7"/>
        <v>0</v>
      </c>
    </row>
    <row r="175" spans="1:55" ht="127.35" customHeight="1">
      <c r="A175" s="43" t="str">
        <f t="shared" si="0"/>
        <v>44740A-BMARYDark Red</v>
      </c>
      <c r="B175" s="45" t="str">
        <f>IF(C175&lt;&gt;"",_xlfn.XLOOKUP(A175,'1C'!A:A,'1C'!B:B,MID(_xlfn.XLOOKUP(C175,'1C'!S:S,'1C'!B:B,"new",0),1,7)&amp;IF(BC175=1,IF(L175&lt;&gt;"",_xlfn.XLOOKUP(L175,Colors!A:A,Colors!B:B,"new",0),"требуется цвет"),""),0))</f>
        <v>06-452-18</v>
      </c>
      <c r="C175" s="44" t="s">
        <v>2212</v>
      </c>
      <c r="D175" s="43" t="str">
        <f>VLOOKUP(C175,Names!A:B,2,0)</f>
        <v>Bloody Mary Archive</v>
      </c>
      <c r="E175" s="43" t="str">
        <f>IF(F175&lt;&gt;"",IFERROR(VLOOKUP(F175,Категории!A:B,2,0),""),"Требуется категория")</f>
        <v>Бейсболки</v>
      </c>
      <c r="F175" s="44" t="s">
        <v>327</v>
      </c>
      <c r="G175" s="44" t="s">
        <v>884</v>
      </c>
      <c r="H175" s="44" t="s">
        <v>388</v>
      </c>
      <c r="J175" s="43" t="str">
        <f>'1C'!$AF$1</f>
        <v>American Needle</v>
      </c>
      <c r="K175" s="104" t="s">
        <v>2294</v>
      </c>
      <c r="L175" s="58" t="s">
        <v>78</v>
      </c>
      <c r="M175" s="58" t="s">
        <v>78</v>
      </c>
      <c r="N175" s="141" t="str">
        <f>Order!B173</f>
        <v>100% Хлопок</v>
      </c>
      <c r="P175" s="44" t="s">
        <v>43</v>
      </c>
      <c r="Q175" s="59" t="s">
        <v>15</v>
      </c>
      <c r="R175" s="58" t="s">
        <v>382</v>
      </c>
      <c r="S175" s="44">
        <v>12</v>
      </c>
      <c r="AQ175" s="59">
        <f t="shared" si="1"/>
        <v>12</v>
      </c>
      <c r="AR175" s="66" t="str">
        <f>Order!A173</f>
        <v>BD</v>
      </c>
      <c r="AS175" s="56" t="str">
        <f ca="1">IF(BA175&gt;0,_xlfn.XLOOKUP(A175,'1C'!$A:$A,'1C'!P:P,"",0,),IF(AR175&lt;&gt;"",VLOOKUP(AR175,INDIRECT(SUBSTITUTE($J175," ","")&amp;"Manufactures"),3,0),"Требуется код страны"))</f>
        <v>American Needle, Inc; 1275 Busch Parkway, Buffalo Grove, IL 60089, USA</v>
      </c>
      <c r="AT175" s="56" t="str">
        <f ca="1">IF(BA175&gt;0,_xlfn.XLOOKUP(A175,'1C'!$A:$A,'1C'!O:O,"",0),IF(AR175&lt;&gt;"",VLOOKUP(AR175,INDIRECT(SUBSTITUTE($J175," ","")&amp;"Manufactures"),2,0),"Требуется код страны"))</f>
        <v>Бангладеш</v>
      </c>
      <c r="AU175" s="76">
        <f t="shared" si="2"/>
        <v>0.1</v>
      </c>
      <c r="AV175" s="43">
        <f t="shared" si="3"/>
        <v>0.15000000000000002</v>
      </c>
      <c r="AW175" s="43">
        <f t="shared" si="4"/>
        <v>1.2000000000000002</v>
      </c>
      <c r="AX175" s="43">
        <f t="shared" si="5"/>
        <v>1.8000000000000003</v>
      </c>
      <c r="AY175" s="155">
        <v>6.8</v>
      </c>
      <c r="AZ175" s="156">
        <f t="shared" si="6"/>
        <v>81.599999999999994</v>
      </c>
      <c r="BA175" s="45">
        <f>IF(A175&lt;&gt;"",IF(_xlfn.XLOOKUP(A175,'1C'!A:A,'1C'!A:A,0,0)&gt;0,1,0),"")</f>
        <v>0</v>
      </c>
      <c r="BB175" s="150">
        <f>IF(C175&lt;&gt;"",IF(_xlfn.XLOOKUP(C175,'1C'!S:S,'1C'!S:S,0,0)&gt;0,0,1),"")</f>
        <v>0</v>
      </c>
      <c r="BC175" s="45">
        <f t="shared" si="7"/>
        <v>1</v>
      </c>
    </row>
    <row r="176" spans="1:55" ht="115.7" customHeight="1">
      <c r="A176" s="43" t="str">
        <f t="shared" si="0"/>
        <v>44740A-BSHdgrn</v>
      </c>
      <c r="B176" s="45" t="str">
        <f>IF(C176&lt;&gt;"",_xlfn.XLOOKUP(A176,'1C'!A:A,'1C'!B:B,MID(_xlfn.XLOOKUP(C176,'1C'!S:S,'1C'!B:B,"new",0),1,7)&amp;IF(BC176=1,IF(L176&lt;&gt;"",_xlfn.XLOOKUP(L176,Colors!A:A,Colors!B:B,"new",0),"требуется цвет"),""),0))</f>
        <v>06-086-11</v>
      </c>
      <c r="C176" s="44" t="s">
        <v>2213</v>
      </c>
      <c r="D176" s="43" t="str">
        <f>IF(A176&lt;&gt;"",_xlfn.XLOOKUP(C176,'1C'!S:S,'1C'!T:T,"",0),"")</f>
        <v>Boston Shamrocks Archive MILB</v>
      </c>
      <c r="E176" s="43" t="str">
        <f>IF(F176&lt;&gt;"",IFERROR(VLOOKUP(F176,Категории!A:B,2,0),""),"Требуется категория")</f>
        <v>Бейсболки</v>
      </c>
      <c r="F176" s="43" t="str">
        <f>IF(A176&lt;&gt;"",IF(BA176&gt;0,_xlfn.XLOOKUP(A176,'1C'!A:A,'1C'!J:J,"",0),_xlfn.XLOOKUP(C176,'1C'!S:S,'1C'!J:J,"",0)),"")</f>
        <v>Бейсболка</v>
      </c>
      <c r="G176" s="43" t="str">
        <f>IF(C176&lt;&gt;"",IF(BA176&gt;0,_xlfn.XLOOKUP(A176,'1C'!A:A,'1C'!L:L,"",0),_xlfn.XLOOKUP(C176,'1C'!S:S,'1C'!L:L,"",0)),"")</f>
        <v>Sport</v>
      </c>
      <c r="H176" s="43" t="str">
        <f>IF(A176&lt;&gt;"",_xlfn.XLOOKUP(A176,'1C'!A:A,'1C'!M:M,_xlfn.XLOOKUP(C176,'1C'!S:S,'1C'!M:M,"",0),0))</f>
        <v>всесезон</v>
      </c>
      <c r="J176" s="43" t="str">
        <f>'1C'!$AF$1</f>
        <v>American Needle</v>
      </c>
      <c r="K176" s="104" t="s">
        <v>1199</v>
      </c>
      <c r="L176" s="59" t="str">
        <f>IF(K176&lt;&gt;"",IFERROR(VLOOKUP(A176,'1C'!A:T,8,0),IFERROR(VLOOKUP(K176,Colors!D:E,2,0),"")),"")</f>
        <v>зеленый</v>
      </c>
      <c r="M176" s="59" t="str">
        <f>IF(K176&lt;&gt;"",IFERROR(VLOOKUP(A176,'1C'!A:T,18,0),IFERROR(VLOOKUP(K176,Colors!D:E,2,0),"")),"")</f>
        <v>зеленый</v>
      </c>
      <c r="N176" s="147" t="str">
        <f>IF(A176&lt;&gt;"",_xlfn.XLOOKUP(A176,'1C'!A:A,'1C'!I:I,_xlfn.XLOOKUP(C176,'1C'!S:S,'1C'!I:I,"",0),0),"")</f>
        <v>100% хлопок</v>
      </c>
      <c r="P176" s="43" t="str">
        <f>IF(A176&lt;&gt;"",_xlfn.XLOOKUP(A176,'1C'!A:A,'1C'!N:N,_xlfn.XLOOKUP(C176,'1C'!S:S,'1C'!N:N,"",0),0),"")</f>
        <v>хлопковые</v>
      </c>
      <c r="Q176" s="59" t="s">
        <v>15</v>
      </c>
      <c r="R176" s="43" t="str">
        <f>IF(A176&lt;&gt;"",_xlfn.XLOOKUP(A176,'1C'!A:A,'1C'!K:K,_xlfn.XLOOKUP(C176,'1C'!S:S,'1C'!K:K,"",0),0),"")</f>
        <v>Унисекс</v>
      </c>
      <c r="S176" s="44">
        <v>64</v>
      </c>
      <c r="AQ176" s="59">
        <f t="shared" si="1"/>
        <v>64</v>
      </c>
      <c r="AR176" s="43" t="str">
        <f>IF(A176&lt;&gt;"",_xlfn.XLOOKUP(_xlfn.XLOOKUP(A176,'1C'!A:A,'1C'!O:O,_xlfn.XLOOKUP(C176,'1C'!S:S,'1C'!O:O,"",0),0),Settings!N:N,Settings!O:O,"",0),"")</f>
        <v>BD</v>
      </c>
      <c r="AS176" s="56" t="str">
        <f ca="1">IF(BA176&gt;0,_xlfn.XLOOKUP(A176,'1C'!$A:$A,'1C'!P:P,"",0,),IF(AR176&lt;&gt;"",VLOOKUP(AR176,INDIRECT(SUBSTITUTE($J176," ","")&amp;"Manufactures"),3,0),"Требуется код страны"))</f>
        <v>American Needle, Inc; 1275 Busch Parkway, Buffalo Grove, IL 60089, USA</v>
      </c>
      <c r="AT176" s="56" t="str">
        <f ca="1">IF(BA176&gt;0,_xlfn.XLOOKUP(A176,'1C'!$A:$A,'1C'!O:O,"",0),IF(AR176&lt;&gt;"",VLOOKUP(AR176,INDIRECT(SUBSTITUTE($J176," ","")&amp;"Manufactures"),2,0),"Требуется код страны"))</f>
        <v>Бангладеш</v>
      </c>
      <c r="AU176" s="76">
        <f t="shared" si="2"/>
        <v>0.1</v>
      </c>
      <c r="AV176" s="43">
        <f t="shared" si="3"/>
        <v>0.15000000000000002</v>
      </c>
      <c r="AW176" s="43">
        <f t="shared" si="4"/>
        <v>6.4</v>
      </c>
      <c r="AX176" s="43">
        <f t="shared" si="5"/>
        <v>9.6000000000000014</v>
      </c>
      <c r="AY176" s="155">
        <v>8.2874999999999996</v>
      </c>
      <c r="AZ176" s="156">
        <f t="shared" si="6"/>
        <v>530.4</v>
      </c>
      <c r="BA176" s="45">
        <f>IF(A176&lt;&gt;"",IF(_xlfn.XLOOKUP(A176,'1C'!A:A,'1C'!A:A,0,0)&gt;0,1,0),"")</f>
        <v>1</v>
      </c>
      <c r="BB176" s="150">
        <f>IF(C176&lt;&gt;"",IF(_xlfn.XLOOKUP(C176,'1C'!S:S,'1C'!S:S,0,0)&gt;0,0,1),"")</f>
        <v>0</v>
      </c>
      <c r="BC176" s="45">
        <f t="shared" si="7"/>
        <v>0</v>
      </c>
    </row>
    <row r="177" spans="1:55" ht="119.65" customHeight="1">
      <c r="A177" s="43" t="str">
        <f t="shared" si="0"/>
        <v>44740A-CHFnavy</v>
      </c>
      <c r="B177" s="45" t="str">
        <f>IF(C177&lt;&gt;"",_xlfn.XLOOKUP(A177,'1C'!A:A,'1C'!B:B,MID(_xlfn.XLOOKUP(C177,'1C'!S:S,'1C'!B:B,"new",0),1,7)&amp;IF(BC177=1,IF(L177&lt;&gt;"",_xlfn.XLOOKUP(L177,Colors!A:A,Colors!B:B,"new",0),"требуется цвет"),""),0))</f>
        <v>06-453-16</v>
      </c>
      <c r="C177" s="44" t="s">
        <v>2214</v>
      </c>
      <c r="D177" s="43" t="str">
        <f>VLOOKUP(C177,Names!A:B,2,0)</f>
        <v>Chicago Federals Archive</v>
      </c>
      <c r="E177" s="43" t="str">
        <f>IF(F177&lt;&gt;"",IFERROR(VLOOKUP(F177,Категории!A:B,2,0),""),"Требуется категория")</f>
        <v>Бейсболки</v>
      </c>
      <c r="F177" s="44" t="s">
        <v>327</v>
      </c>
      <c r="G177" s="44" t="s">
        <v>884</v>
      </c>
      <c r="H177" s="44" t="s">
        <v>388</v>
      </c>
      <c r="J177" s="43" t="str">
        <f>'1C'!$AF$1</f>
        <v>American Needle</v>
      </c>
      <c r="K177" s="104" t="s">
        <v>818</v>
      </c>
      <c r="L177" s="59" t="str">
        <f>IF(K177&lt;&gt;"",IFERROR(VLOOKUP(A177,'1C'!A:T,8,0),IFERROR(VLOOKUP(K177,Colors!D:E,2,0),"")),"")</f>
        <v>темно-синий</v>
      </c>
      <c r="M177" s="59" t="str">
        <f>IF(K177&lt;&gt;"",IFERROR(VLOOKUP(A177,'1C'!A:T,18,0),IFERROR(VLOOKUP(K177,Colors!D:E,2,0),"")),"")</f>
        <v>темно-синий</v>
      </c>
      <c r="N177" s="141" t="str">
        <f>Order!B175</f>
        <v>100% Хлопок</v>
      </c>
      <c r="P177" s="44" t="s">
        <v>43</v>
      </c>
      <c r="Q177" s="59" t="s">
        <v>15</v>
      </c>
      <c r="R177" s="58" t="s">
        <v>382</v>
      </c>
      <c r="S177" s="44">
        <v>38</v>
      </c>
      <c r="AQ177" s="59">
        <f t="shared" si="1"/>
        <v>38</v>
      </c>
      <c r="AR177" s="66" t="str">
        <f>Order!A175</f>
        <v>BD</v>
      </c>
      <c r="AS177" s="56" t="str">
        <f ca="1">IF(BA177&gt;0,_xlfn.XLOOKUP(A177,'1C'!$A:$A,'1C'!P:P,"",0,),IF(AR177&lt;&gt;"",VLOOKUP(AR177,INDIRECT(SUBSTITUTE($J177," ","")&amp;"Manufactures"),3,0),"Требуется код страны"))</f>
        <v>American Needle, Inc; 1275 Busch Parkway, Buffalo Grove, IL 60089, USA</v>
      </c>
      <c r="AT177" s="56" t="str">
        <f ca="1">IF(BA177&gt;0,_xlfn.XLOOKUP(A177,'1C'!$A:$A,'1C'!O:O,"",0),IF(AR177&lt;&gt;"",VLOOKUP(AR177,INDIRECT(SUBSTITUTE($J177," ","")&amp;"Manufactures"),2,0),"Требуется код страны"))</f>
        <v>Бангладеш</v>
      </c>
      <c r="AU177" s="76">
        <f t="shared" si="2"/>
        <v>0.1</v>
      </c>
      <c r="AV177" s="43">
        <f t="shared" si="3"/>
        <v>0.15000000000000002</v>
      </c>
      <c r="AW177" s="43">
        <f t="shared" si="4"/>
        <v>3.8000000000000003</v>
      </c>
      <c r="AX177" s="43">
        <f t="shared" si="5"/>
        <v>5.7000000000000011</v>
      </c>
      <c r="AY177" s="155">
        <v>8.2876315789473693</v>
      </c>
      <c r="AZ177" s="156">
        <f t="shared" si="6"/>
        <v>314.93000000000006</v>
      </c>
      <c r="BA177" s="45">
        <f>IF(A177&lt;&gt;"",IF(_xlfn.XLOOKUP(A177,'1C'!A:A,'1C'!A:A,0,0)&gt;0,1,0),"")</f>
        <v>0</v>
      </c>
      <c r="BB177" s="150">
        <f>IF(C177&lt;&gt;"",IF(_xlfn.XLOOKUP(C177,'1C'!S:S,'1C'!S:S,0,0)&gt;0,0,1),"")</f>
        <v>0</v>
      </c>
      <c r="BC177" s="45">
        <f t="shared" si="7"/>
        <v>1</v>
      </c>
    </row>
    <row r="178" spans="1:55" ht="127.35" customHeight="1">
      <c r="A178" s="43" t="str">
        <f t="shared" si="0"/>
        <v>44740A-DAENavy</v>
      </c>
      <c r="B178" s="45" t="str">
        <f>IF(C178&lt;&gt;"",_xlfn.XLOOKUP(A178,'1C'!A:A,'1C'!B:B,MID(_xlfn.XLOOKUP(C178,'1C'!S:S,'1C'!B:B,"new",0),1,7)&amp;IF(BC178=1,IF(L178&lt;&gt;"",_xlfn.XLOOKUP(L178,Colors!A:A,Colors!B:B,"new",0),"требуется цвет"),""),0))</f>
        <v>06-454-16</v>
      </c>
      <c r="C178" s="44" t="s">
        <v>2215</v>
      </c>
      <c r="D178" s="43" t="str">
        <f>VLOOKUP(C178,Names!A:B,2,0)</f>
        <v>Dallas Eagles Archive</v>
      </c>
      <c r="E178" s="43" t="str">
        <f>IF(F178&lt;&gt;"",IFERROR(VLOOKUP(F178,Категории!A:B,2,0),""),"Требуется категория")</f>
        <v>Бейсболки</v>
      </c>
      <c r="F178" s="44" t="s">
        <v>327</v>
      </c>
      <c r="G178" s="44" t="s">
        <v>884</v>
      </c>
      <c r="H178" s="44" t="s">
        <v>388</v>
      </c>
      <c r="J178" s="43" t="str">
        <f>'1C'!$AF$1</f>
        <v>American Needle</v>
      </c>
      <c r="K178" s="104" t="s">
        <v>54</v>
      </c>
      <c r="L178" s="59" t="str">
        <f>IF(K178&lt;&gt;"",IFERROR(VLOOKUP(A178,'1C'!A:T,8,0),IFERROR(VLOOKUP(K178,Colors!D:E,2,0),"")),"")</f>
        <v>темно-синий</v>
      </c>
      <c r="M178" s="59" t="str">
        <f>IF(K178&lt;&gt;"",IFERROR(VLOOKUP(A178,'1C'!A:T,18,0),IFERROR(VLOOKUP(K178,Colors!D:E,2,0),"")),"")</f>
        <v>темно-синий</v>
      </c>
      <c r="N178" s="141" t="str">
        <f>Order!B176</f>
        <v>100% Хлопок</v>
      </c>
      <c r="P178" s="44" t="s">
        <v>43</v>
      </c>
      <c r="Q178" s="59" t="s">
        <v>15</v>
      </c>
      <c r="R178" s="58" t="s">
        <v>382</v>
      </c>
      <c r="S178" s="44">
        <v>12</v>
      </c>
      <c r="AQ178" s="59">
        <f t="shared" si="1"/>
        <v>12</v>
      </c>
      <c r="AR178" s="66" t="str">
        <f>Order!A176</f>
        <v>BD</v>
      </c>
      <c r="AS178" s="56" t="str">
        <f ca="1">IF(BA178&gt;0,_xlfn.XLOOKUP(A178,'1C'!$A:$A,'1C'!P:P,"",0,),IF(AR178&lt;&gt;"",VLOOKUP(AR178,INDIRECT(SUBSTITUTE($J178," ","")&amp;"Manufactures"),3,0),"Требуется код страны"))</f>
        <v>American Needle, Inc; 1275 Busch Parkway, Buffalo Grove, IL 60089, USA</v>
      </c>
      <c r="AT178" s="56" t="str">
        <f ca="1">IF(BA178&gt;0,_xlfn.XLOOKUP(A178,'1C'!$A:$A,'1C'!O:O,"",0),IF(AR178&lt;&gt;"",VLOOKUP(AR178,INDIRECT(SUBSTITUTE($J178," ","")&amp;"Manufactures"),2,0),"Требуется код страны"))</f>
        <v>Бангладеш</v>
      </c>
      <c r="AU178" s="76">
        <f t="shared" si="2"/>
        <v>0.1</v>
      </c>
      <c r="AV178" s="43">
        <f t="shared" si="3"/>
        <v>0.15000000000000002</v>
      </c>
      <c r="AW178" s="43">
        <f t="shared" si="4"/>
        <v>1.2000000000000002</v>
      </c>
      <c r="AX178" s="43">
        <f t="shared" si="5"/>
        <v>1.8000000000000003</v>
      </c>
      <c r="AY178" s="155">
        <v>8.2874999999999996</v>
      </c>
      <c r="AZ178" s="156">
        <f t="shared" si="6"/>
        <v>99.449999999999989</v>
      </c>
      <c r="BA178" s="45">
        <f>IF(A178&lt;&gt;"",IF(_xlfn.XLOOKUP(A178,'1C'!A:A,'1C'!A:A,0,0)&gt;0,1,0),"")</f>
        <v>0</v>
      </c>
      <c r="BB178" s="150">
        <f>IF(C178&lt;&gt;"",IF(_xlfn.XLOOKUP(C178,'1C'!S:S,'1C'!S:S,0,0)&gt;0,0,1),"")</f>
        <v>0</v>
      </c>
      <c r="BC178" s="45">
        <f t="shared" si="7"/>
        <v>1</v>
      </c>
    </row>
    <row r="179" spans="1:55" ht="130.69999999999999" customHeight="1">
      <c r="A179" s="43" t="str">
        <f t="shared" si="0"/>
        <v>44740A-GINTONnavy</v>
      </c>
      <c r="B179" s="45" t="str">
        <f>IF(C179&lt;&gt;"",_xlfn.XLOOKUP(A179,'1C'!A:A,'1C'!B:B,MID(_xlfn.XLOOKUP(C179,'1C'!S:S,'1C'!B:B,"new",0),1,7)&amp;IF(BC179=1,IF(L179&lt;&gt;"",_xlfn.XLOOKUP(L179,Colors!A:A,Colors!B:B,"new",0),"требуется цвет"),""),0))</f>
        <v>06-455-16</v>
      </c>
      <c r="C179" s="44" t="s">
        <v>2216</v>
      </c>
      <c r="D179" s="43" t="str">
        <f>VLOOKUP(C179,Names!A:B,2,0)</f>
        <v>Gin &amp; Tonic Archive</v>
      </c>
      <c r="E179" s="43" t="str">
        <f>IF(F179&lt;&gt;"",IFERROR(VLOOKUP(F179,Категории!A:B,2,0),""),"Требуется категория")</f>
        <v>Бейсболки</v>
      </c>
      <c r="F179" s="44" t="s">
        <v>327</v>
      </c>
      <c r="G179" s="44" t="s">
        <v>2314</v>
      </c>
      <c r="H179" s="44" t="s">
        <v>388</v>
      </c>
      <c r="J179" s="43" t="str">
        <f>'1C'!$AF$1</f>
        <v>American Needle</v>
      </c>
      <c r="K179" s="104" t="s">
        <v>818</v>
      </c>
      <c r="L179" s="59" t="str">
        <f>IF(K179&lt;&gt;"",IFERROR(VLOOKUP(A179,'1C'!A:T,8,0),IFERROR(VLOOKUP(K179,Colors!D:E,2,0),"")),"")</f>
        <v>темно-синий</v>
      </c>
      <c r="M179" s="59" t="str">
        <f>IF(K179&lt;&gt;"",IFERROR(VLOOKUP(A179,'1C'!A:T,18,0),IFERROR(VLOOKUP(K179,Colors!D:E,2,0),"")),"")</f>
        <v>темно-синий</v>
      </c>
      <c r="N179" s="141" t="str">
        <f>Order!B177</f>
        <v>100% Хлопок</v>
      </c>
      <c r="P179" s="44" t="s">
        <v>43</v>
      </c>
      <c r="Q179" s="59" t="s">
        <v>15</v>
      </c>
      <c r="R179" s="58" t="s">
        <v>382</v>
      </c>
      <c r="S179" s="44">
        <v>44</v>
      </c>
      <c r="AQ179" s="59">
        <f t="shared" si="1"/>
        <v>44</v>
      </c>
      <c r="AR179" s="66" t="str">
        <f>Order!A177</f>
        <v>BD</v>
      </c>
      <c r="AS179" s="56" t="str">
        <f ca="1">IF(BA179&gt;0,_xlfn.XLOOKUP(A179,'1C'!$A:$A,'1C'!P:P,"",0,),IF(AR179&lt;&gt;"",VLOOKUP(AR179,INDIRECT(SUBSTITUTE($J179," ","")&amp;"Manufactures"),3,0),"Требуется код страны"))</f>
        <v>American Needle, Inc; 1275 Busch Parkway, Buffalo Grove, IL 60089, USA</v>
      </c>
      <c r="AT179" s="56" t="str">
        <f ca="1">IF(BA179&gt;0,_xlfn.XLOOKUP(A179,'1C'!$A:$A,'1C'!O:O,"",0),IF(AR179&lt;&gt;"",VLOOKUP(AR179,INDIRECT(SUBSTITUTE($J179," ","")&amp;"Manufactures"),2,0),"Требуется код страны"))</f>
        <v>Бангладеш</v>
      </c>
      <c r="AU179" s="76">
        <f t="shared" si="2"/>
        <v>0.1</v>
      </c>
      <c r="AV179" s="43">
        <f t="shared" si="3"/>
        <v>0.15000000000000002</v>
      </c>
      <c r="AW179" s="43">
        <f t="shared" si="4"/>
        <v>4.4000000000000004</v>
      </c>
      <c r="AX179" s="43">
        <f t="shared" si="5"/>
        <v>6.6000000000000014</v>
      </c>
      <c r="AY179" s="155">
        <v>6.8</v>
      </c>
      <c r="AZ179" s="156">
        <f t="shared" si="6"/>
        <v>299.2</v>
      </c>
      <c r="BA179" s="45">
        <f>IF(A179&lt;&gt;"",IF(_xlfn.XLOOKUP(A179,'1C'!A:A,'1C'!A:A,0,0)&gt;0,1,0),"")</f>
        <v>0</v>
      </c>
      <c r="BB179" s="150">
        <f>IF(C179&lt;&gt;"",IF(_xlfn.XLOOKUP(C179,'1C'!S:S,'1C'!S:S,0,0)&gt;0,0,1),"")</f>
        <v>0</v>
      </c>
      <c r="BC179" s="45">
        <f t="shared" si="7"/>
        <v>1</v>
      </c>
    </row>
    <row r="180" spans="1:55" ht="115.7" customHeight="1">
      <c r="A180" s="43" t="str">
        <f t="shared" si="0"/>
        <v>44740A-HTCred</v>
      </c>
      <c r="B180" s="45" t="str">
        <f>IF(C180&lt;&gt;"",_xlfn.XLOOKUP(A180,'1C'!A:A,'1C'!B:B,MID(_xlfn.XLOOKUP(C180,'1C'!S:S,'1C'!B:B,"new",0),1,7)&amp;IF(BC180=1,IF(L180&lt;&gt;"",_xlfn.XLOOKUP(L180,Colors!A:A,Colors!B:B,"new",0),"требуется цвет"),""),0))</f>
        <v>06-456-18</v>
      </c>
      <c r="C180" s="44" t="s">
        <v>2217</v>
      </c>
      <c r="D180" s="43" t="str">
        <f>VLOOKUP(C180,Names!A:B,2,0)</f>
        <v>HIROSHIMA CARP Archive</v>
      </c>
      <c r="E180" s="43" t="str">
        <f>IF(F180&lt;&gt;"",IFERROR(VLOOKUP(F180,Категории!A:B,2,0),""),"Требуется категория")</f>
        <v>Бейсболки</v>
      </c>
      <c r="F180" s="44" t="s">
        <v>327</v>
      </c>
      <c r="G180" s="44" t="s">
        <v>884</v>
      </c>
      <c r="H180" s="44" t="s">
        <v>388</v>
      </c>
      <c r="J180" s="43" t="str">
        <f>'1C'!$AF$1</f>
        <v>American Needle</v>
      </c>
      <c r="K180" s="104" t="s">
        <v>822</v>
      </c>
      <c r="L180" s="59" t="str">
        <f>IF(K180&lt;&gt;"",IFERROR(VLOOKUP(A180,'1C'!A:T,8,0),IFERROR(VLOOKUP(K180,Colors!D:E,2,0),"")),"")</f>
        <v>красный</v>
      </c>
      <c r="M180" s="59" t="str">
        <f>IF(K180&lt;&gt;"",IFERROR(VLOOKUP(A180,'1C'!A:T,18,0),IFERROR(VLOOKUP(K180,Colors!D:E,2,0),"")),"")</f>
        <v>красный</v>
      </c>
      <c r="N180" s="141" t="str">
        <f>Order!B178</f>
        <v>100% Хлопок</v>
      </c>
      <c r="P180" s="44" t="s">
        <v>43</v>
      </c>
      <c r="Q180" s="59" t="s">
        <v>15</v>
      </c>
      <c r="R180" s="58" t="s">
        <v>382</v>
      </c>
      <c r="S180" s="44">
        <v>38</v>
      </c>
      <c r="AQ180" s="59">
        <f t="shared" si="1"/>
        <v>38</v>
      </c>
      <c r="AR180" s="66" t="str">
        <f>Order!A178</f>
        <v>BD</v>
      </c>
      <c r="AS180" s="56" t="str">
        <f ca="1">IF(BA180&gt;0,_xlfn.XLOOKUP(A180,'1C'!$A:$A,'1C'!P:P,"",0,),IF(AR180&lt;&gt;"",VLOOKUP(AR180,INDIRECT(SUBSTITUTE($J180," ","")&amp;"Manufactures"),3,0),"Требуется код страны"))</f>
        <v>American Needle, Inc; 1275 Busch Parkway, Buffalo Grove, IL 60089, USA</v>
      </c>
      <c r="AT180" s="56" t="str">
        <f ca="1">IF(BA180&gt;0,_xlfn.XLOOKUP(A180,'1C'!$A:$A,'1C'!O:O,"",0),IF(AR180&lt;&gt;"",VLOOKUP(AR180,INDIRECT(SUBSTITUTE($J180," ","")&amp;"Manufactures"),2,0),"Требуется код страны"))</f>
        <v>Бангладеш</v>
      </c>
      <c r="AU180" s="76">
        <f t="shared" si="2"/>
        <v>0.1</v>
      </c>
      <c r="AV180" s="43">
        <f t="shared" si="3"/>
        <v>0.15000000000000002</v>
      </c>
      <c r="AW180" s="43">
        <f t="shared" si="4"/>
        <v>3.8000000000000003</v>
      </c>
      <c r="AX180" s="43">
        <f t="shared" si="5"/>
        <v>5.7000000000000011</v>
      </c>
      <c r="AY180" s="155">
        <v>8.2876315789473693</v>
      </c>
      <c r="AZ180" s="156">
        <f t="shared" si="6"/>
        <v>314.93000000000006</v>
      </c>
      <c r="BA180" s="45">
        <f>IF(A180&lt;&gt;"",IF(_xlfn.XLOOKUP(A180,'1C'!A:A,'1C'!A:A,0,0)&gt;0,1,0),"")</f>
        <v>0</v>
      </c>
      <c r="BB180" s="150">
        <f>IF(C180&lt;&gt;"",IF(_xlfn.XLOOKUP(C180,'1C'!S:S,'1C'!S:S,0,0)&gt;0,0,1),"")</f>
        <v>0</v>
      </c>
      <c r="BC180" s="45">
        <f t="shared" si="7"/>
        <v>1</v>
      </c>
    </row>
    <row r="181" spans="1:55" ht="119.65" customHeight="1">
      <c r="A181" s="43" t="str">
        <f t="shared" si="0"/>
        <v>44740A-KCKnavy</v>
      </c>
      <c r="B181" s="45" t="str">
        <f>IF(C181&lt;&gt;"",_xlfn.XLOOKUP(A181,'1C'!A:A,'1C'!B:B,MID(_xlfn.XLOOKUP(C181,'1C'!S:S,'1C'!B:B,"new",0),1,7)&amp;IF(BC181=1,IF(L181&lt;&gt;"",_xlfn.XLOOKUP(L181,Colors!A:A,Colors!B:B,"new",0),"требуется цвет"),""),0))</f>
        <v>06-089-16</v>
      </c>
      <c r="C181" s="44" t="s">
        <v>2218</v>
      </c>
      <c r="D181" s="43" t="str">
        <f>IF(A181&lt;&gt;"",_xlfn.XLOOKUP(C181,'1C'!S:S,'1C'!T:T,"",0),"")</f>
        <v>Kansas City Katz Archive MILB</v>
      </c>
      <c r="E181" s="43" t="str">
        <f>IF(F181&lt;&gt;"",IFERROR(VLOOKUP(F181,Категории!A:B,2,0),""),"Требуется категория")</f>
        <v>Бейсболки</v>
      </c>
      <c r="F181" s="43" t="str">
        <f>IF(A181&lt;&gt;"",IF(BA181&gt;0,_xlfn.XLOOKUP(A181,'1C'!A:A,'1C'!J:J,"",0),_xlfn.XLOOKUP(C181,'1C'!S:S,'1C'!J:J,"",0)),"")</f>
        <v>Бейсболка</v>
      </c>
      <c r="G181" s="43" t="str">
        <f>IF(C181&lt;&gt;"",IF(BA181&gt;0,_xlfn.XLOOKUP(A181,'1C'!A:A,'1C'!L:L,"",0),_xlfn.XLOOKUP(C181,'1C'!S:S,'1C'!L:L,"",0)),"")</f>
        <v>AMERICAN NEEDLE-Sport</v>
      </c>
      <c r="H181" s="43" t="str">
        <f>IF(A181&lt;&gt;"",_xlfn.XLOOKUP(A181,'1C'!A:A,'1C'!M:M,_xlfn.XLOOKUP(C181,'1C'!S:S,'1C'!M:M,"",0),0))</f>
        <v>всесезон</v>
      </c>
      <c r="J181" s="43" t="str">
        <f>'1C'!$AF$1</f>
        <v>American Needle</v>
      </c>
      <c r="K181" s="104" t="s">
        <v>818</v>
      </c>
      <c r="L181" s="59" t="str">
        <f>IF(K181&lt;&gt;"",IFERROR(VLOOKUP(A181,'1C'!A:T,8,0),IFERROR(VLOOKUP(K181,Colors!D:E,2,0),"")),"")</f>
        <v>темно-синий</v>
      </c>
      <c r="M181" s="59" t="str">
        <f>IF(K181&lt;&gt;"",IFERROR(VLOOKUP(A181,'1C'!A:T,18,0),IFERROR(VLOOKUP(K181,Colors!D:E,2,0),"")),"")</f>
        <v>синий</v>
      </c>
      <c r="N181" s="147" t="str">
        <f>IF(A181&lt;&gt;"",_xlfn.XLOOKUP(A181,'1C'!A:A,'1C'!I:I,_xlfn.XLOOKUP(C181,'1C'!S:S,'1C'!I:I,"",0),0),"")</f>
        <v>100% хлопок</v>
      </c>
      <c r="P181" s="43" t="str">
        <f>IF(A181&lt;&gt;"",_xlfn.XLOOKUP(A181,'1C'!A:A,'1C'!N:N,_xlfn.XLOOKUP(C181,'1C'!S:S,'1C'!N:N,"",0),0),"")</f>
        <v>хлопковые</v>
      </c>
      <c r="Q181" s="59" t="s">
        <v>15</v>
      </c>
      <c r="R181" s="43" t="str">
        <f>IF(A181&lt;&gt;"",_xlfn.XLOOKUP(A181,'1C'!A:A,'1C'!K:K,_xlfn.XLOOKUP(C181,'1C'!S:S,'1C'!K:K,"",0),0),"")</f>
        <v>Унисекс</v>
      </c>
      <c r="S181" s="44">
        <v>58</v>
      </c>
      <c r="AQ181" s="59">
        <f t="shared" si="1"/>
        <v>58</v>
      </c>
      <c r="AR181" s="43" t="str">
        <f>IF(A181&lt;&gt;"",_xlfn.XLOOKUP(_xlfn.XLOOKUP(A181,'1C'!A:A,'1C'!O:O,_xlfn.XLOOKUP(C181,'1C'!S:S,'1C'!O:O,"",0),0),Settings!N:N,Settings!O:O,"",0),"")</f>
        <v>BD</v>
      </c>
      <c r="AS181" s="56" t="str">
        <f ca="1">IF(BA181&gt;0,_xlfn.XLOOKUP(A181,'1C'!$A:$A,'1C'!P:P,"",0,),IF(AR181&lt;&gt;"",VLOOKUP(AR181,INDIRECT(SUBSTITUTE($J181," ","")&amp;"Manufactures"),3,0),"Требуется код страны"))</f>
        <v>American Needle, Inc; 1275 Busch Parkway, Buffalo Grove, IL 60089, USA</v>
      </c>
      <c r="AT181" s="56" t="str">
        <f ca="1">IF(BA181&gt;0,_xlfn.XLOOKUP(A181,'1C'!$A:$A,'1C'!O:O,"",0),IF(AR181&lt;&gt;"",VLOOKUP(AR181,INDIRECT(SUBSTITUTE($J181," ","")&amp;"Manufactures"),2,0),"Требуется код страны"))</f>
        <v>Бангладеш</v>
      </c>
      <c r="AU181" s="76">
        <f t="shared" si="2"/>
        <v>0.1</v>
      </c>
      <c r="AV181" s="43">
        <f t="shared" si="3"/>
        <v>0.15000000000000002</v>
      </c>
      <c r="AW181" s="43">
        <f t="shared" si="4"/>
        <v>5.8000000000000007</v>
      </c>
      <c r="AX181" s="43">
        <f t="shared" si="5"/>
        <v>8.7000000000000011</v>
      </c>
      <c r="AY181" s="155">
        <v>8.2875862068965525</v>
      </c>
      <c r="AZ181" s="156">
        <f t="shared" si="6"/>
        <v>480.68000000000006</v>
      </c>
      <c r="BA181" s="45">
        <f>IF(A181&lt;&gt;"",IF(_xlfn.XLOOKUP(A181,'1C'!A:A,'1C'!A:A,0,0)&gt;0,1,0),"")</f>
        <v>1</v>
      </c>
      <c r="BB181" s="150">
        <f>IF(C181&lt;&gt;"",IF(_xlfn.XLOOKUP(C181,'1C'!S:S,'1C'!S:S,0,0)&gt;0,0,1),"")</f>
        <v>0</v>
      </c>
      <c r="BC181" s="45">
        <f t="shared" si="7"/>
        <v>0</v>
      </c>
    </row>
    <row r="182" spans="1:55" ht="119.65" customHeight="1">
      <c r="A182" s="43" t="str">
        <f t="shared" si="0"/>
        <v>44740A-LAAdeep royal</v>
      </c>
      <c r="B182" s="45" t="str">
        <f>IF(C182&lt;&gt;"",_xlfn.XLOOKUP(A182,'1C'!A:A,'1C'!B:B,MID(_xlfn.XLOOKUP(C182,'1C'!S:S,'1C'!B:B,"new",0),1,7)&amp;IF(BC182=1,IF(L182&lt;&gt;"",_xlfn.XLOOKUP(L182,Colors!A:A,Colors!B:B,"new",0),"требуется цвет"),""),0))</f>
        <v>06-457-06</v>
      </c>
      <c r="C182" s="44" t="s">
        <v>2219</v>
      </c>
      <c r="D182" s="43" t="str">
        <f>VLOOKUP(C182,Names!A:B,2,0)</f>
        <v>Los Angeles Angels Archive MILB</v>
      </c>
      <c r="E182" s="43" t="str">
        <f>IF(F182&lt;&gt;"",IFERROR(VLOOKUP(F182,Категории!A:B,2,0),""),"Требуется категория")</f>
        <v>Бейсболки</v>
      </c>
      <c r="F182" s="44" t="s">
        <v>327</v>
      </c>
      <c r="G182" s="44" t="s">
        <v>884</v>
      </c>
      <c r="H182" s="44" t="s">
        <v>388</v>
      </c>
      <c r="J182" s="43" t="str">
        <f>'1C'!$AF$1</f>
        <v>American Needle</v>
      </c>
      <c r="K182" s="104" t="s">
        <v>2295</v>
      </c>
      <c r="L182" s="58" t="s">
        <v>71</v>
      </c>
      <c r="M182" s="58" t="s">
        <v>71</v>
      </c>
      <c r="N182" s="141" t="str">
        <f>Order!B180</f>
        <v>100% Хлопок</v>
      </c>
      <c r="P182" s="44" t="s">
        <v>43</v>
      </c>
      <c r="Q182" s="59" t="s">
        <v>15</v>
      </c>
      <c r="R182" s="58" t="s">
        <v>382</v>
      </c>
      <c r="S182" s="44">
        <v>51</v>
      </c>
      <c r="AQ182" s="59">
        <f t="shared" si="1"/>
        <v>51</v>
      </c>
      <c r="AR182" s="66" t="str">
        <f>Order!A180</f>
        <v>BD</v>
      </c>
      <c r="AS182" s="56" t="str">
        <f ca="1">IF(BA182&gt;0,_xlfn.XLOOKUP(A182,'1C'!$A:$A,'1C'!P:P,"",0,),IF(AR182&lt;&gt;"",VLOOKUP(AR182,INDIRECT(SUBSTITUTE($J182," ","")&amp;"Manufactures"),3,0),"Требуется код страны"))</f>
        <v>American Needle, Inc; 1275 Busch Parkway, Buffalo Grove, IL 60089, USA</v>
      </c>
      <c r="AT182" s="56" t="str">
        <f ca="1">IF(BA182&gt;0,_xlfn.XLOOKUP(A182,'1C'!$A:$A,'1C'!O:O,"",0),IF(AR182&lt;&gt;"",VLOOKUP(AR182,INDIRECT(SUBSTITUTE($J182," ","")&amp;"Manufactures"),2,0),"Требуется код страны"))</f>
        <v>Бангладеш</v>
      </c>
      <c r="AU182" s="76">
        <f t="shared" si="2"/>
        <v>0.1</v>
      </c>
      <c r="AV182" s="43">
        <f t="shared" si="3"/>
        <v>0.15000000000000002</v>
      </c>
      <c r="AW182" s="43">
        <f t="shared" si="4"/>
        <v>5.1000000000000005</v>
      </c>
      <c r="AX182" s="43">
        <f t="shared" si="5"/>
        <v>7.6500000000000012</v>
      </c>
      <c r="AY182" s="155">
        <v>8.2874509803921566</v>
      </c>
      <c r="AZ182" s="156">
        <f t="shared" si="6"/>
        <v>422.65999999999997</v>
      </c>
      <c r="BA182" s="45">
        <f>IF(A182&lt;&gt;"",IF(_xlfn.XLOOKUP(A182,'1C'!A:A,'1C'!A:A,0,0)&gt;0,1,0),"")</f>
        <v>0</v>
      </c>
      <c r="BB182" s="150">
        <f>IF(C182&lt;&gt;"",IF(_xlfn.XLOOKUP(C182,'1C'!S:S,'1C'!S:S,0,0)&gt;0,0,1),"")</f>
        <v>0</v>
      </c>
      <c r="BC182" s="45">
        <f t="shared" si="7"/>
        <v>1</v>
      </c>
    </row>
    <row r="183" spans="1:55" ht="127.35" customHeight="1">
      <c r="A183" s="43" t="str">
        <f t="shared" si="0"/>
        <v>44740A-MANHATBlack</v>
      </c>
      <c r="B183" s="45" t="str">
        <f>IF(C183&lt;&gt;"",_xlfn.XLOOKUP(A183,'1C'!A:A,'1C'!B:B,MID(_xlfn.XLOOKUP(C183,'1C'!S:S,'1C'!B:B,"new",0),1,7)&amp;IF(BC183=1,IF(L183&lt;&gt;"",_xlfn.XLOOKUP(L183,Colors!A:A,Colors!B:B,"new",0),"требуется цвет"),""),0))</f>
        <v>06-458-09</v>
      </c>
      <c r="C183" s="44" t="s">
        <v>2220</v>
      </c>
      <c r="D183" s="43" t="str">
        <f>VLOOKUP(C183,Names!A:B,2,0)</f>
        <v>Manhattan Archive</v>
      </c>
      <c r="E183" s="43" t="str">
        <f>IF(F183&lt;&gt;"",IFERROR(VLOOKUP(F183,Категории!A:B,2,0),""),"Требуется категория")</f>
        <v>Бейсболки</v>
      </c>
      <c r="F183" s="44" t="s">
        <v>327</v>
      </c>
      <c r="G183" s="44" t="s">
        <v>2314</v>
      </c>
      <c r="H183" s="44" t="s">
        <v>388</v>
      </c>
      <c r="J183" s="43" t="str">
        <f>'1C'!$AF$1</f>
        <v>American Needle</v>
      </c>
      <c r="K183" s="104" t="s">
        <v>52</v>
      </c>
      <c r="L183" s="59" t="str">
        <f>IF(K183&lt;&gt;"",IFERROR(VLOOKUP(A183,'1C'!A:T,8,0),IFERROR(VLOOKUP(K183,Colors!D:E,2,0),"")),"")</f>
        <v>черный</v>
      </c>
      <c r="M183" s="59" t="str">
        <f>IF(K183&lt;&gt;"",IFERROR(VLOOKUP(A183,'1C'!A:T,18,0),IFERROR(VLOOKUP(K183,Colors!D:E,2,0),"")),"")</f>
        <v>черный</v>
      </c>
      <c r="N183" s="141" t="str">
        <f>Order!B181</f>
        <v>100% Хлопок</v>
      </c>
      <c r="P183" s="44" t="s">
        <v>43</v>
      </c>
      <c r="Q183" s="59" t="s">
        <v>15</v>
      </c>
      <c r="R183" s="58" t="s">
        <v>382</v>
      </c>
      <c r="S183" s="44">
        <v>12</v>
      </c>
      <c r="AQ183" s="59">
        <f t="shared" si="1"/>
        <v>12</v>
      </c>
      <c r="AR183" s="66" t="str">
        <f>Order!A181</f>
        <v>BD</v>
      </c>
      <c r="AS183" s="56" t="str">
        <f ca="1">IF(BA183&gt;0,_xlfn.XLOOKUP(A183,'1C'!$A:$A,'1C'!P:P,"",0,),IF(AR183&lt;&gt;"",VLOOKUP(AR183,INDIRECT(SUBSTITUTE($J183," ","")&amp;"Manufactures"),3,0),"Требуется код страны"))</f>
        <v>American Needle, Inc; 1275 Busch Parkway, Buffalo Grove, IL 60089, USA</v>
      </c>
      <c r="AT183" s="56" t="str">
        <f ca="1">IF(BA183&gt;0,_xlfn.XLOOKUP(A183,'1C'!$A:$A,'1C'!O:O,"",0),IF(AR183&lt;&gt;"",VLOOKUP(AR183,INDIRECT(SUBSTITUTE($J183," ","")&amp;"Manufactures"),2,0),"Требуется код страны"))</f>
        <v>Бангладеш</v>
      </c>
      <c r="AU183" s="76">
        <f t="shared" si="2"/>
        <v>0.1</v>
      </c>
      <c r="AV183" s="43">
        <f t="shared" si="3"/>
        <v>0.15000000000000002</v>
      </c>
      <c r="AW183" s="43">
        <f t="shared" si="4"/>
        <v>1.2000000000000002</v>
      </c>
      <c r="AX183" s="43">
        <f t="shared" si="5"/>
        <v>1.8000000000000003</v>
      </c>
      <c r="AY183" s="155">
        <v>6.8</v>
      </c>
      <c r="AZ183" s="156">
        <f t="shared" si="6"/>
        <v>81.599999999999994</v>
      </c>
      <c r="BA183" s="45">
        <f>IF(A183&lt;&gt;"",IF(_xlfn.XLOOKUP(A183,'1C'!A:A,'1C'!A:A,0,0)&gt;0,1,0),"")</f>
        <v>0</v>
      </c>
      <c r="BB183" s="150">
        <f>IF(C183&lt;&gt;"",IF(_xlfn.XLOOKUP(C183,'1C'!S:S,'1C'!S:S,0,0)&gt;0,0,1),"")</f>
        <v>0</v>
      </c>
      <c r="BC183" s="45">
        <f t="shared" si="7"/>
        <v>1</v>
      </c>
    </row>
    <row r="184" spans="1:55" ht="133.35" customHeight="1">
      <c r="A184" s="43" t="str">
        <f t="shared" si="0"/>
        <v>44740A-MJULEPseafoam</v>
      </c>
      <c r="B184" s="45" t="str">
        <f>IF(C184&lt;&gt;"",_xlfn.XLOOKUP(A184,'1C'!A:A,'1C'!B:B,MID(_xlfn.XLOOKUP(C184,'1C'!S:S,'1C'!B:B,"new",0),1,7)&amp;IF(BC184=1,IF(L184&lt;&gt;"",_xlfn.XLOOKUP(L184,Colors!A:A,Colors!B:B,"new",0),"требуется цвет"),""),0))</f>
        <v>06-459-19</v>
      </c>
      <c r="C184" s="44" t="s">
        <v>2221</v>
      </c>
      <c r="D184" s="43" t="str">
        <f>VLOOKUP(C184,Names!A:B,2,0)</f>
        <v>Mint Julep Archive</v>
      </c>
      <c r="E184" s="43" t="str">
        <f>IF(F184&lt;&gt;"",IFERROR(VLOOKUP(F184,Категории!A:B,2,0),""),"Требуется категория")</f>
        <v>Бейсболки</v>
      </c>
      <c r="F184" s="44" t="s">
        <v>327</v>
      </c>
      <c r="G184" s="44" t="s">
        <v>2314</v>
      </c>
      <c r="H184" s="44" t="s">
        <v>388</v>
      </c>
      <c r="J184" s="43" t="str">
        <f>'1C'!$AF$1</f>
        <v>American Needle</v>
      </c>
      <c r="K184" s="104" t="s">
        <v>1372</v>
      </c>
      <c r="L184" s="58" t="s">
        <v>91</v>
      </c>
      <c r="M184" s="58" t="s">
        <v>91</v>
      </c>
      <c r="N184" s="141" t="str">
        <f>Order!B182</f>
        <v>100% Хлопок</v>
      </c>
      <c r="P184" s="44" t="s">
        <v>43</v>
      </c>
      <c r="Q184" s="59" t="s">
        <v>15</v>
      </c>
      <c r="R184" s="58" t="s">
        <v>382</v>
      </c>
      <c r="S184" s="44">
        <v>12</v>
      </c>
      <c r="AQ184" s="59">
        <f t="shared" si="1"/>
        <v>12</v>
      </c>
      <c r="AR184" s="66" t="str">
        <f>Order!A182</f>
        <v>BD</v>
      </c>
      <c r="AS184" s="56" t="str">
        <f ca="1">IF(BA184&gt;0,_xlfn.XLOOKUP(A184,'1C'!$A:$A,'1C'!P:P,"",0,),IF(AR184&lt;&gt;"",VLOOKUP(AR184,INDIRECT(SUBSTITUTE($J184," ","")&amp;"Manufactures"),3,0),"Требуется код страны"))</f>
        <v>American Needle, Inc; 1275 Busch Parkway, Buffalo Grove, IL 60089, USA</v>
      </c>
      <c r="AT184" s="56" t="str">
        <f ca="1">IF(BA184&gt;0,_xlfn.XLOOKUP(A184,'1C'!$A:$A,'1C'!O:O,"",0),IF(AR184&lt;&gt;"",VLOOKUP(AR184,INDIRECT(SUBSTITUTE($J184," ","")&amp;"Manufactures"),2,0),"Требуется код страны"))</f>
        <v>Бангладеш</v>
      </c>
      <c r="AU184" s="76">
        <f t="shared" si="2"/>
        <v>0.1</v>
      </c>
      <c r="AV184" s="43">
        <f t="shared" si="3"/>
        <v>0.15000000000000002</v>
      </c>
      <c r="AW184" s="43">
        <f t="shared" si="4"/>
        <v>1.2000000000000002</v>
      </c>
      <c r="AX184" s="43">
        <f t="shared" si="5"/>
        <v>1.8000000000000003</v>
      </c>
      <c r="AY184" s="155">
        <v>6.8</v>
      </c>
      <c r="AZ184" s="156">
        <f t="shared" si="6"/>
        <v>81.599999999999994</v>
      </c>
      <c r="BA184" s="45">
        <f>IF(A184&lt;&gt;"",IF(_xlfn.XLOOKUP(A184,'1C'!A:A,'1C'!A:A,0,0)&gt;0,1,0),"")</f>
        <v>0</v>
      </c>
      <c r="BB184" s="150">
        <f>IF(C184&lt;&gt;"",IF(_xlfn.XLOOKUP(C184,'1C'!S:S,'1C'!S:S,0,0)&gt;0,0,1),"")</f>
        <v>0</v>
      </c>
      <c r="BC184" s="45">
        <f t="shared" si="7"/>
        <v>1</v>
      </c>
    </row>
    <row r="185" spans="1:55" ht="119.65" customHeight="1">
      <c r="A185" s="43" t="str">
        <f t="shared" si="0"/>
        <v>44740A-NAHnavy</v>
      </c>
      <c r="B185" s="45" t="str">
        <f>IF(C185&lt;&gt;"",_xlfn.XLOOKUP(A185,'1C'!A:A,'1C'!B:B,MID(_xlfn.XLOOKUP(C185,'1C'!S:S,'1C'!B:B,"new",0),1,7)&amp;IF(BC185=1,IF(L185&lt;&gt;"",_xlfn.XLOOKUP(L185,Colors!A:A,Colors!B:B,"new",0),"требуется цвет"),""),0))</f>
        <v>06-460-16</v>
      </c>
      <c r="C185" s="44" t="s">
        <v>2222</v>
      </c>
      <c r="D185" s="43" t="str">
        <f>VLOOKUP(C185,Names!A:B,2,0)</f>
        <v>NANKAI HAWKS Archive</v>
      </c>
      <c r="E185" s="43" t="str">
        <f>IF(F185&lt;&gt;"",IFERROR(VLOOKUP(F185,Категории!A:B,2,0),""),"Требуется категория")</f>
        <v>Бейсболки</v>
      </c>
      <c r="F185" s="44" t="s">
        <v>327</v>
      </c>
      <c r="G185" s="44" t="s">
        <v>884</v>
      </c>
      <c r="H185" s="44" t="s">
        <v>388</v>
      </c>
      <c r="J185" s="43" t="str">
        <f>'1C'!$AF$1</f>
        <v>American Needle</v>
      </c>
      <c r="K185" s="104" t="s">
        <v>818</v>
      </c>
      <c r="L185" s="59" t="str">
        <f>IF(K185&lt;&gt;"",IFERROR(VLOOKUP(A185,'1C'!A:T,8,0),IFERROR(VLOOKUP(K185,Colors!D:E,2,0),"")),"")</f>
        <v>темно-синий</v>
      </c>
      <c r="M185" s="59" t="str">
        <f>IF(K185&lt;&gt;"",IFERROR(VLOOKUP(A185,'1C'!A:T,18,0),IFERROR(VLOOKUP(K185,Colors!D:E,2,0),"")),"")</f>
        <v>темно-синий</v>
      </c>
      <c r="N185" s="141" t="str">
        <f>Order!B183</f>
        <v>100% Хлопок</v>
      </c>
      <c r="P185" s="44" t="s">
        <v>43</v>
      </c>
      <c r="Q185" s="59" t="s">
        <v>15</v>
      </c>
      <c r="R185" s="58" t="s">
        <v>382</v>
      </c>
      <c r="S185" s="44">
        <v>38</v>
      </c>
      <c r="AQ185" s="59">
        <f t="shared" si="1"/>
        <v>38</v>
      </c>
      <c r="AR185" s="66" t="str">
        <f>Order!A183</f>
        <v>BD</v>
      </c>
      <c r="AS185" s="56" t="str">
        <f ca="1">IF(BA185&gt;0,_xlfn.XLOOKUP(A185,'1C'!$A:$A,'1C'!P:P,"",0,),IF(AR185&lt;&gt;"",VLOOKUP(AR185,INDIRECT(SUBSTITUTE($J185," ","")&amp;"Manufactures"),3,0),"Требуется код страны"))</f>
        <v>American Needle, Inc; 1275 Busch Parkway, Buffalo Grove, IL 60089, USA</v>
      </c>
      <c r="AT185" s="56" t="str">
        <f ca="1">IF(BA185&gt;0,_xlfn.XLOOKUP(A185,'1C'!$A:$A,'1C'!O:O,"",0),IF(AR185&lt;&gt;"",VLOOKUP(AR185,INDIRECT(SUBSTITUTE($J185," ","")&amp;"Manufactures"),2,0),"Требуется код страны"))</f>
        <v>Бангладеш</v>
      </c>
      <c r="AU185" s="76">
        <f t="shared" si="2"/>
        <v>0.1</v>
      </c>
      <c r="AV185" s="43">
        <f t="shared" si="3"/>
        <v>0.15000000000000002</v>
      </c>
      <c r="AW185" s="43">
        <f t="shared" si="4"/>
        <v>3.8000000000000003</v>
      </c>
      <c r="AX185" s="43">
        <f t="shared" si="5"/>
        <v>5.7000000000000011</v>
      </c>
      <c r="AY185" s="155">
        <v>8.2876315789473693</v>
      </c>
      <c r="AZ185" s="156">
        <f t="shared" si="6"/>
        <v>314.93000000000006</v>
      </c>
      <c r="BA185" s="45">
        <f>IF(A185&lt;&gt;"",IF(_xlfn.XLOOKUP(A185,'1C'!A:A,'1C'!A:A,0,0)&gt;0,1,0),"")</f>
        <v>0</v>
      </c>
      <c r="BB185" s="150">
        <f>IF(C185&lt;&gt;"",IF(_xlfn.XLOOKUP(C185,'1C'!S:S,'1C'!S:S,0,0)&gt;0,0,1),"")</f>
        <v>0</v>
      </c>
      <c r="BC185" s="45">
        <f t="shared" si="7"/>
        <v>1</v>
      </c>
    </row>
    <row r="186" spans="1:55" ht="127.35" customHeight="1">
      <c r="A186" s="43" t="str">
        <f t="shared" si="0"/>
        <v>44740A-OLDFASHBlack</v>
      </c>
      <c r="B186" s="45" t="str">
        <f>IF(C186&lt;&gt;"",_xlfn.XLOOKUP(A186,'1C'!A:A,'1C'!B:B,MID(_xlfn.XLOOKUP(C186,'1C'!S:S,'1C'!B:B,"new",0),1,7)&amp;IF(BC186=1,IF(L186&lt;&gt;"",_xlfn.XLOOKUP(L186,Colors!A:A,Colors!B:B,"new",0),"требуется цвет"),""),0))</f>
        <v>06-461-09</v>
      </c>
      <c r="C186" s="44" t="s">
        <v>2223</v>
      </c>
      <c r="D186" s="43" t="str">
        <f>VLOOKUP(C186,Names!A:B,2,0)</f>
        <v>Old Fashion Archive</v>
      </c>
      <c r="E186" s="43" t="str">
        <f>IF(F186&lt;&gt;"",IFERROR(VLOOKUP(F186,Категории!A:B,2,0),""),"Требуется категория")</f>
        <v>Бейсболки</v>
      </c>
      <c r="F186" s="44" t="s">
        <v>327</v>
      </c>
      <c r="G186" s="44" t="s">
        <v>884</v>
      </c>
      <c r="H186" s="44" t="s">
        <v>388</v>
      </c>
      <c r="J186" s="43" t="str">
        <f>'1C'!$AF$1</f>
        <v>American Needle</v>
      </c>
      <c r="K186" s="104" t="s">
        <v>52</v>
      </c>
      <c r="L186" s="59" t="str">
        <f>IF(K186&lt;&gt;"",IFERROR(VLOOKUP(A186,'1C'!A:T,8,0),IFERROR(VLOOKUP(K186,Colors!D:E,2,0),"")),"")</f>
        <v>черный</v>
      </c>
      <c r="M186" s="59" t="str">
        <f>IF(K186&lt;&gt;"",IFERROR(VLOOKUP(A186,'1C'!A:T,18,0),IFERROR(VLOOKUP(K186,Colors!D:E,2,0),"")),"")</f>
        <v>черный</v>
      </c>
      <c r="N186" s="141" t="str">
        <f>Order!B184</f>
        <v>100% Хлопок</v>
      </c>
      <c r="P186" s="44" t="s">
        <v>43</v>
      </c>
      <c r="Q186" s="59" t="s">
        <v>15</v>
      </c>
      <c r="R186" s="58" t="s">
        <v>382</v>
      </c>
      <c r="S186" s="44">
        <v>12</v>
      </c>
      <c r="AQ186" s="59">
        <f t="shared" si="1"/>
        <v>12</v>
      </c>
      <c r="AR186" s="66" t="str">
        <f>Order!A184</f>
        <v>BD</v>
      </c>
      <c r="AS186" s="56" t="str">
        <f ca="1">IF(BA186&gt;0,_xlfn.XLOOKUP(A186,'1C'!$A:$A,'1C'!P:P,"",0,),IF(AR186&lt;&gt;"",VLOOKUP(AR186,INDIRECT(SUBSTITUTE($J186," ","")&amp;"Manufactures"),3,0),"Требуется код страны"))</f>
        <v>American Needle, Inc; 1275 Busch Parkway, Buffalo Grove, IL 60089, USA</v>
      </c>
      <c r="AT186" s="56" t="str">
        <f ca="1">IF(BA186&gt;0,_xlfn.XLOOKUP(A186,'1C'!$A:$A,'1C'!O:O,"",0),IF(AR186&lt;&gt;"",VLOOKUP(AR186,INDIRECT(SUBSTITUTE($J186," ","")&amp;"Manufactures"),2,0),"Требуется код страны"))</f>
        <v>Бангладеш</v>
      </c>
      <c r="AU186" s="76">
        <f t="shared" si="2"/>
        <v>0.1</v>
      </c>
      <c r="AV186" s="43">
        <f t="shared" si="3"/>
        <v>0.15000000000000002</v>
      </c>
      <c r="AW186" s="43">
        <f t="shared" si="4"/>
        <v>1.2000000000000002</v>
      </c>
      <c r="AX186" s="43">
        <f t="shared" si="5"/>
        <v>1.8000000000000003</v>
      </c>
      <c r="AY186" s="155">
        <v>6.8</v>
      </c>
      <c r="AZ186" s="156">
        <f t="shared" si="6"/>
        <v>81.599999999999994</v>
      </c>
      <c r="BA186" s="45">
        <f>IF(A186&lt;&gt;"",IF(_xlfn.XLOOKUP(A186,'1C'!A:A,'1C'!A:A,0,0)&gt;0,1,0),"")</f>
        <v>0</v>
      </c>
      <c r="BB186" s="150">
        <f>IF(C186&lt;&gt;"",IF(_xlfn.XLOOKUP(C186,'1C'!S:S,'1C'!S:S,0,0)&gt;0,0,1),"")</f>
        <v>0</v>
      </c>
      <c r="BC186" s="45">
        <f t="shared" si="7"/>
        <v>1</v>
      </c>
    </row>
    <row r="187" spans="1:55" ht="123.95" customHeight="1">
      <c r="A187" s="43" t="str">
        <f t="shared" si="0"/>
        <v>44740A-STEstnv</v>
      </c>
      <c r="B187" s="45" t="str">
        <f>IF(C187&lt;&gt;"",_xlfn.XLOOKUP(A187,'1C'!A:A,'1C'!B:B,MID(_xlfn.XLOOKUP(C187,'1C'!S:S,'1C'!B:B,"new",0),1,7)&amp;IF(BC187=1,IF(L187&lt;&gt;"",_xlfn.XLOOKUP(L187,Colors!A:A,Colors!B:B,"new",0),"требуется цвет"),""),0))</f>
        <v>06-304-39</v>
      </c>
      <c r="C187" s="44" t="s">
        <v>2224</v>
      </c>
      <c r="D187" s="43" t="str">
        <f>IF(A187&lt;&gt;"",_xlfn.XLOOKUP(C187,'1C'!S:S,'1C'!T:T,"",0),"")</f>
        <v>Saint Louis Terriers Archive MILB</v>
      </c>
      <c r="E187" s="43" t="str">
        <f>IF(F187&lt;&gt;"",IFERROR(VLOOKUP(F187,Категории!A:B,2,0),""),"Требуется категория")</f>
        <v>Бейсболки</v>
      </c>
      <c r="F187" s="43" t="str">
        <f>IF(A187&lt;&gt;"",IF(BA187&gt;0,_xlfn.XLOOKUP(A187,'1C'!A:A,'1C'!J:J,"",0),_xlfn.XLOOKUP(C187,'1C'!S:S,'1C'!J:J,"",0)),"")</f>
        <v>Бейсболка</v>
      </c>
      <c r="G187" s="43" t="str">
        <f>IF(C187&lt;&gt;"",IF(BA187&gt;0,_xlfn.XLOOKUP(A187,'1C'!A:A,'1C'!L:L,"",0),_xlfn.XLOOKUP(C187,'1C'!S:S,'1C'!L:L,"",0)),"")</f>
        <v>Sport</v>
      </c>
      <c r="H187" s="43" t="str">
        <f>IF(A187&lt;&gt;"",_xlfn.XLOOKUP(A187,'1C'!A:A,'1C'!M:M,_xlfn.XLOOKUP(C187,'1C'!S:S,'1C'!M:M,"",0),0))</f>
        <v>всесезон</v>
      </c>
      <c r="J187" s="43" t="str">
        <f>'1C'!$AF$1</f>
        <v>American Needle</v>
      </c>
      <c r="K187" s="104" t="s">
        <v>1108</v>
      </c>
      <c r="L187" s="59" t="str">
        <f>IF(K187&lt;&gt;"",IFERROR(VLOOKUP(A187,'1C'!A:T,8,0),IFERROR(VLOOKUP(K187,Colors!D:E,2,0),"")),"")</f>
        <v>кремовый / темно-синий</v>
      </c>
      <c r="M187" s="59" t="str">
        <f>IF(K187&lt;&gt;"",IFERROR(VLOOKUP(A187,'1C'!A:T,18,0),IFERROR(VLOOKUP(K187,Colors!D:E,2,0),"")),"")</f>
        <v>бежевый</v>
      </c>
      <c r="N187" s="147" t="str">
        <f>IF(A187&lt;&gt;"",_xlfn.XLOOKUP(A187,'1C'!A:A,'1C'!I:I,_xlfn.XLOOKUP(C187,'1C'!S:S,'1C'!I:I,"",0),0),"")</f>
        <v>100% хлопок</v>
      </c>
      <c r="P187" s="43" t="str">
        <f>IF(A187&lt;&gt;"",_xlfn.XLOOKUP(A187,'1C'!A:A,'1C'!N:N,_xlfn.XLOOKUP(C187,'1C'!S:S,'1C'!N:N,"",0),0),"")</f>
        <v>хлопковые</v>
      </c>
      <c r="Q187" s="59" t="s">
        <v>15</v>
      </c>
      <c r="R187" s="43" t="str">
        <f>IF(A187&lt;&gt;"",_xlfn.XLOOKUP(A187,'1C'!A:A,'1C'!K:K,_xlfn.XLOOKUP(C187,'1C'!S:S,'1C'!K:K,"",0),0),"")</f>
        <v>Унисекс</v>
      </c>
      <c r="S187" s="44">
        <v>12</v>
      </c>
      <c r="AQ187" s="59">
        <f t="shared" si="1"/>
        <v>12</v>
      </c>
      <c r="AR187" s="43" t="str">
        <f>IF(A187&lt;&gt;"",_xlfn.XLOOKUP(_xlfn.XLOOKUP(A187,'1C'!A:A,'1C'!O:O,_xlfn.XLOOKUP(C187,'1C'!S:S,'1C'!O:O,"",0),0),Settings!N:N,Settings!O:O,"",0),"")</f>
        <v>BD</v>
      </c>
      <c r="AS187" s="56" t="str">
        <f ca="1">IF(BA187&gt;0,_xlfn.XLOOKUP(A187,'1C'!$A:$A,'1C'!P:P,"",0,),IF(AR187&lt;&gt;"",VLOOKUP(AR187,INDIRECT(SUBSTITUTE($J187," ","")&amp;"Manufactures"),3,0),"Требуется код страны"))</f>
        <v>American Needle, Inc; 1275 Busch Parkway, Buffalo Grove, IL 60089, USA</v>
      </c>
      <c r="AT187" s="56" t="str">
        <f ca="1">IF(BA187&gt;0,_xlfn.XLOOKUP(A187,'1C'!$A:$A,'1C'!O:O,"",0),IF(AR187&lt;&gt;"",VLOOKUP(AR187,INDIRECT(SUBSTITUTE($J187," ","")&amp;"Manufactures"),2,0),"Требуется код страны"))</f>
        <v>Бангладеш</v>
      </c>
      <c r="AU187" s="76">
        <f t="shared" si="2"/>
        <v>0.1</v>
      </c>
      <c r="AV187" s="43">
        <f t="shared" si="3"/>
        <v>0.15000000000000002</v>
      </c>
      <c r="AW187" s="43">
        <f t="shared" si="4"/>
        <v>1.2000000000000002</v>
      </c>
      <c r="AX187" s="43">
        <f t="shared" si="5"/>
        <v>1.8000000000000003</v>
      </c>
      <c r="AY187" s="155">
        <v>8.2874999999999996</v>
      </c>
      <c r="AZ187" s="156">
        <f t="shared" si="6"/>
        <v>99.449999999999989</v>
      </c>
      <c r="BA187" s="45">
        <f>IF(A187&lt;&gt;"",IF(_xlfn.XLOOKUP(A187,'1C'!A:A,'1C'!A:A,0,0)&gt;0,1,0),"")</f>
        <v>1</v>
      </c>
      <c r="BB187" s="150">
        <f>IF(C187&lt;&gt;"",IF(_xlfn.XLOOKUP(C187,'1C'!S:S,'1C'!S:S,0,0)&gt;0,0,1),"")</f>
        <v>0</v>
      </c>
      <c r="BC187" s="45">
        <f t="shared" si="7"/>
        <v>0</v>
      </c>
    </row>
    <row r="188" spans="1:55" ht="119.65" customHeight="1">
      <c r="A188" s="43" t="str">
        <f t="shared" si="0"/>
        <v>44740A-WHAnavb</v>
      </c>
      <c r="B188" s="45" t="str">
        <f>IF(C188&lt;&gt;"",_xlfn.XLOOKUP(A188,'1C'!A:A,'1C'!B:B,MID(_xlfn.XLOOKUP(C188,'1C'!S:S,'1C'!B:B,"new",0),1,7)&amp;IF(BC188=1,IF(L188&lt;&gt;"",_xlfn.XLOOKUP(L188,Colors!A:A,Colors!B:B,"new",0),"требуется цвет"),""),0))</f>
        <v>06-092-16</v>
      </c>
      <c r="C188" s="44" t="s">
        <v>2225</v>
      </c>
      <c r="D188" s="43" t="str">
        <f>IF(A188&lt;&gt;"",_xlfn.XLOOKUP(C188,'1C'!S:S,'1C'!T:T,"",0),"")</f>
        <v>Chicago Whales Archive MILB</v>
      </c>
      <c r="E188" s="43" t="str">
        <f>IF(F188&lt;&gt;"",IFERROR(VLOOKUP(F188,Категории!A:B,2,0),""),"Требуется категория")</f>
        <v>Бейсболки</v>
      </c>
      <c r="F188" s="43" t="str">
        <f>IF(A188&lt;&gt;"",IF(BA188&gt;0,_xlfn.XLOOKUP(A188,'1C'!A:A,'1C'!J:J,"",0),_xlfn.XLOOKUP(C188,'1C'!S:S,'1C'!J:J,"",0)),"")</f>
        <v>Бейсболка</v>
      </c>
      <c r="G188" s="43" t="str">
        <f>IF(C188&lt;&gt;"",IF(BA188&gt;0,_xlfn.XLOOKUP(A188,'1C'!A:A,'1C'!L:L,"",0),_xlfn.XLOOKUP(C188,'1C'!S:S,'1C'!L:L,"",0)),"")</f>
        <v>Sport</v>
      </c>
      <c r="H188" s="43" t="str">
        <f>IF(A188&lt;&gt;"",_xlfn.XLOOKUP(A188,'1C'!A:A,'1C'!M:M,_xlfn.XLOOKUP(C188,'1C'!S:S,'1C'!M:M,"",0),0))</f>
        <v>всесезон</v>
      </c>
      <c r="J188" s="43" t="str">
        <f>'1C'!$AF$1</f>
        <v>American Needle</v>
      </c>
      <c r="K188" s="104" t="s">
        <v>1218</v>
      </c>
      <c r="L188" s="59" t="str">
        <f>IF(K188&lt;&gt;"",IFERROR(VLOOKUP(A188,'1C'!A:T,8,0),IFERROR(VLOOKUP(K188,Colors!D:E,2,0),"")),"")</f>
        <v>темно-синий</v>
      </c>
      <c r="M188" s="59" t="str">
        <f>IF(K188&lt;&gt;"",IFERROR(VLOOKUP(A188,'1C'!A:T,18,0),IFERROR(VLOOKUP(K188,Colors!D:E,2,0),"")),"")</f>
        <v>синий</v>
      </c>
      <c r="N188" s="147" t="str">
        <f>IF(A188&lt;&gt;"",_xlfn.XLOOKUP(A188,'1C'!A:A,'1C'!I:I,_xlfn.XLOOKUP(C188,'1C'!S:S,'1C'!I:I,"",0),0),"")</f>
        <v>100% хлопок</v>
      </c>
      <c r="P188" s="43" t="str">
        <f>IF(A188&lt;&gt;"",_xlfn.XLOOKUP(A188,'1C'!A:A,'1C'!N:N,_xlfn.XLOOKUP(C188,'1C'!S:S,'1C'!N:N,"",0),0),"")</f>
        <v>хлопковые</v>
      </c>
      <c r="Q188" s="59" t="s">
        <v>15</v>
      </c>
      <c r="R188" s="43" t="str">
        <f>IF(A188&lt;&gt;"",_xlfn.XLOOKUP(A188,'1C'!A:A,'1C'!K:K,_xlfn.XLOOKUP(C188,'1C'!S:S,'1C'!K:K,"",0),0),"")</f>
        <v>Унисекс</v>
      </c>
      <c r="S188" s="44">
        <v>12</v>
      </c>
      <c r="AQ188" s="59">
        <f t="shared" si="1"/>
        <v>12</v>
      </c>
      <c r="AR188" s="43" t="str">
        <f>IF(A188&lt;&gt;"",_xlfn.XLOOKUP(_xlfn.XLOOKUP(A188,'1C'!A:A,'1C'!O:O,_xlfn.XLOOKUP(C188,'1C'!S:S,'1C'!O:O,"",0),0),Settings!N:N,Settings!O:O,"",0),"")</f>
        <v>BD</v>
      </c>
      <c r="AS188" s="56" t="str">
        <f ca="1">IF(BA188&gt;0,_xlfn.XLOOKUP(A188,'1C'!$A:$A,'1C'!P:P,"",0,),IF(AR188&lt;&gt;"",VLOOKUP(AR188,INDIRECT(SUBSTITUTE($J188," ","")&amp;"Manufactures"),3,0),"Требуется код страны"))</f>
        <v>American Needle, Inc; 1275 Busch Parkway, Buffalo Grove, IL 60089, USA</v>
      </c>
      <c r="AT188" s="56" t="str">
        <f ca="1">IF(BA188&gt;0,_xlfn.XLOOKUP(A188,'1C'!$A:$A,'1C'!O:O,"",0),IF(AR188&lt;&gt;"",VLOOKUP(AR188,INDIRECT(SUBSTITUTE($J188," ","")&amp;"Manufactures"),2,0),"Требуется код страны"))</f>
        <v>Бангладеш</v>
      </c>
      <c r="AU188" s="76">
        <f t="shared" si="2"/>
        <v>0.1</v>
      </c>
      <c r="AV188" s="43">
        <f t="shared" si="3"/>
        <v>0.15000000000000002</v>
      </c>
      <c r="AW188" s="43">
        <f t="shared" si="4"/>
        <v>1.2000000000000002</v>
      </c>
      <c r="AX188" s="43">
        <f t="shared" si="5"/>
        <v>1.8000000000000003</v>
      </c>
      <c r="AY188" s="155">
        <v>8.2874999999999996</v>
      </c>
      <c r="AZ188" s="156">
        <f t="shared" si="6"/>
        <v>99.449999999999989</v>
      </c>
      <c r="BA188" s="45">
        <f>IF(A188&lt;&gt;"",IF(_xlfn.XLOOKUP(A188,'1C'!A:A,'1C'!A:A,0,0)&gt;0,1,0),"")</f>
        <v>1</v>
      </c>
      <c r="BB188" s="150">
        <f>IF(C188&lt;&gt;"",IF(_xlfn.XLOOKUP(C188,'1C'!S:S,'1C'!S:S,0,0)&gt;0,0,1),"")</f>
        <v>0</v>
      </c>
      <c r="BC188" s="45">
        <f t="shared" si="7"/>
        <v>0</v>
      </c>
    </row>
    <row r="189" spans="1:55" ht="115.7" customHeight="1">
      <c r="A189" s="43" t="str">
        <f t="shared" si="0"/>
        <v>44740A-YOWdark royal</v>
      </c>
      <c r="B189" s="45" t="str">
        <f>IF(C189&lt;&gt;"",_xlfn.XLOOKUP(A189,'1C'!A:A,'1C'!B:B,MID(_xlfn.XLOOKUP(C189,'1C'!S:S,'1C'!B:B,"new",0),1,7)&amp;IF(BC189=1,IF(L189&lt;&gt;"",_xlfn.XLOOKUP(L189,Colors!A:A,Colors!B:B,"new",0),"требуется цвет"),""),0))</f>
        <v>06-462-19</v>
      </c>
      <c r="C189" s="44" t="s">
        <v>2226</v>
      </c>
      <c r="D189" s="43" t="str">
        <f>VLOOKUP(C189,Names!A:B,2,0)</f>
        <v>Yokohama Whales Archive</v>
      </c>
      <c r="E189" s="43" t="str">
        <f>IF(F189&lt;&gt;"",IFERROR(VLOOKUP(F189,Категории!A:B,2,0),""),"Требуется категория")</f>
        <v>Бейсболки</v>
      </c>
      <c r="F189" s="44" t="s">
        <v>327</v>
      </c>
      <c r="G189" s="44" t="s">
        <v>884</v>
      </c>
      <c r="H189" s="44" t="s">
        <v>388</v>
      </c>
      <c r="J189" s="43" t="str">
        <f>'1C'!$AF$1</f>
        <v>American Needle</v>
      </c>
      <c r="K189" s="104" t="s">
        <v>2296</v>
      </c>
      <c r="L189" s="58" t="s">
        <v>91</v>
      </c>
      <c r="M189" s="58" t="s">
        <v>91</v>
      </c>
      <c r="N189" s="141" t="str">
        <f>Order!B187</f>
        <v>100% Хлопок</v>
      </c>
      <c r="P189" s="44" t="s">
        <v>43</v>
      </c>
      <c r="Q189" s="59" t="s">
        <v>15</v>
      </c>
      <c r="R189" s="58" t="s">
        <v>382</v>
      </c>
      <c r="S189" s="44">
        <v>28</v>
      </c>
      <c r="AQ189" s="59">
        <f t="shared" si="1"/>
        <v>28</v>
      </c>
      <c r="AR189" s="66" t="str">
        <f>Order!A187</f>
        <v>BD</v>
      </c>
      <c r="AS189" s="56" t="str">
        <f ca="1">IF(BA189&gt;0,_xlfn.XLOOKUP(A189,'1C'!$A:$A,'1C'!P:P,"",0,),IF(AR189&lt;&gt;"",VLOOKUP(AR189,INDIRECT(SUBSTITUTE($J189," ","")&amp;"Manufactures"),3,0),"Требуется код страны"))</f>
        <v>American Needle, Inc; 1275 Busch Parkway, Buffalo Grove, IL 60089, USA</v>
      </c>
      <c r="AT189" s="56" t="str">
        <f ca="1">IF(BA189&gt;0,_xlfn.XLOOKUP(A189,'1C'!$A:$A,'1C'!O:O,"",0),IF(AR189&lt;&gt;"",VLOOKUP(AR189,INDIRECT(SUBSTITUTE($J189," ","")&amp;"Manufactures"),2,0),"Требуется код страны"))</f>
        <v>Бангладеш</v>
      </c>
      <c r="AU189" s="76">
        <f t="shared" si="2"/>
        <v>0.1</v>
      </c>
      <c r="AV189" s="43">
        <f t="shared" si="3"/>
        <v>0.15000000000000002</v>
      </c>
      <c r="AW189" s="43">
        <f t="shared" si="4"/>
        <v>2.8000000000000003</v>
      </c>
      <c r="AX189" s="43">
        <f t="shared" si="5"/>
        <v>4.2000000000000011</v>
      </c>
      <c r="AY189" s="155">
        <v>8.2874999999999996</v>
      </c>
      <c r="AZ189" s="156">
        <f t="shared" si="6"/>
        <v>232.04999999999998</v>
      </c>
      <c r="BA189" s="45">
        <f>IF(A189&lt;&gt;"",IF(_xlfn.XLOOKUP(A189,'1C'!A:A,'1C'!A:A,0,0)&gt;0,1,0),"")</f>
        <v>0</v>
      </c>
      <c r="BB189" s="150">
        <f>IF(C189&lt;&gt;"",IF(_xlfn.XLOOKUP(C189,'1C'!S:S,'1C'!S:S,0,0)&gt;0,0,1),"")</f>
        <v>0</v>
      </c>
      <c r="BC189" s="45">
        <f t="shared" si="7"/>
        <v>1</v>
      </c>
    </row>
    <row r="190" spans="1:55" ht="119.65" customHeight="1">
      <c r="A190" s="43" t="str">
        <f t="shared" si="0"/>
        <v>44742A-OASblk</v>
      </c>
      <c r="B190" s="45" t="str">
        <f>IF(C190&lt;&gt;"",_xlfn.XLOOKUP(A190,'1C'!A:A,'1C'!B:B,MID(_xlfn.XLOOKUP(C190,'1C'!S:S,'1C'!B:B,"new",0),1,7)&amp;IF(BC190=1,IF(L190&lt;&gt;"",_xlfn.XLOOKUP(L190,Colors!A:A,Colors!B:B,"new",0),"требуется цвет"),""),0))</f>
        <v>06-094-09</v>
      </c>
      <c r="C190" s="44" t="s">
        <v>2227</v>
      </c>
      <c r="D190" s="43" t="str">
        <f>IF(A190&lt;&gt;"",_xlfn.XLOOKUP(C190,'1C'!S:S,'1C'!T:T,"",0),"")</f>
        <v>Oakland Seals Archive NHL</v>
      </c>
      <c r="E190" s="43" t="str">
        <f>IF(F190&lt;&gt;"",IFERROR(VLOOKUP(F190,Категории!A:B,2,0),""),"Требуется категория")</f>
        <v>Бейсболки</v>
      </c>
      <c r="F190" s="43" t="str">
        <f>IF(A190&lt;&gt;"",IF(BA190&gt;0,_xlfn.XLOOKUP(A190,'1C'!A:A,'1C'!J:J,"",0),_xlfn.XLOOKUP(C190,'1C'!S:S,'1C'!J:J,"",0)),"")</f>
        <v>Бейсболка</v>
      </c>
      <c r="G190" s="43" t="str">
        <f>IF(C190&lt;&gt;"",IF(BA190&gt;0,_xlfn.XLOOKUP(A190,'1C'!A:A,'1C'!L:L,"",0),_xlfn.XLOOKUP(C190,'1C'!S:S,'1C'!L:L,"",0)),"")</f>
        <v>AMERICAN NEEDLE-Sport</v>
      </c>
      <c r="H190" s="43" t="str">
        <f>IF(A190&lt;&gt;"",_xlfn.XLOOKUP(A190,'1C'!A:A,'1C'!M:M,_xlfn.XLOOKUP(C190,'1C'!S:S,'1C'!M:M,"",0),0))</f>
        <v>всесезон</v>
      </c>
      <c r="J190" s="43" t="str">
        <f>'1C'!$AF$1</f>
        <v>American Needle</v>
      </c>
      <c r="K190" s="104" t="s">
        <v>843</v>
      </c>
      <c r="L190" s="59" t="str">
        <f>IF(K190&lt;&gt;"",IFERROR(VLOOKUP(A190,'1C'!A:T,8,0),IFERROR(VLOOKUP(K190,Colors!D:E,2,0),"")),"")</f>
        <v>черный</v>
      </c>
      <c r="M190" s="59" t="str">
        <f>IF(K190&lt;&gt;"",IFERROR(VLOOKUP(A190,'1C'!A:T,18,0),IFERROR(VLOOKUP(K190,Colors!D:E,2,0),"")),"")</f>
        <v>черный</v>
      </c>
      <c r="N190" s="147" t="str">
        <f>IF(A190&lt;&gt;"",_xlfn.XLOOKUP(A190,'1C'!A:A,'1C'!I:I,_xlfn.XLOOKUP(C190,'1C'!S:S,'1C'!I:I,"",0),0),"")</f>
        <v>100% хлопок</v>
      </c>
      <c r="P190" s="43" t="str">
        <f>IF(A190&lt;&gt;"",_xlfn.XLOOKUP(A190,'1C'!A:A,'1C'!N:N,_xlfn.XLOOKUP(C190,'1C'!S:S,'1C'!N:N,"",0),0),"")</f>
        <v>хлопковые</v>
      </c>
      <c r="Q190" s="59" t="s">
        <v>15</v>
      </c>
      <c r="R190" s="43" t="str">
        <f>IF(A190&lt;&gt;"",_xlfn.XLOOKUP(A190,'1C'!A:A,'1C'!K:K,_xlfn.XLOOKUP(C190,'1C'!S:S,'1C'!K:K,"",0),0),"")</f>
        <v>Унисекс</v>
      </c>
      <c r="S190" s="44">
        <v>6</v>
      </c>
      <c r="AQ190" s="59">
        <f t="shared" si="1"/>
        <v>6</v>
      </c>
      <c r="AR190" s="43" t="str">
        <f>IF(A190&lt;&gt;"",_xlfn.XLOOKUP(_xlfn.XLOOKUP(A190,'1C'!A:A,'1C'!O:O,_xlfn.XLOOKUP(C190,'1C'!S:S,'1C'!O:O,"",0),0),Settings!N:N,Settings!O:O,"",0),"")</f>
        <v>BD</v>
      </c>
      <c r="AS190" s="56" t="str">
        <f ca="1">IF(BA190&gt;0,_xlfn.XLOOKUP(A190,'1C'!$A:$A,'1C'!P:P,"",0,),IF(AR190&lt;&gt;"",VLOOKUP(AR190,INDIRECT(SUBSTITUTE($J190," ","")&amp;"Manufactures"),3,0),"Требуется код страны"))</f>
        <v>American Needle, Inc; 1275 Busch Parkway, Buffalo Grove, IL 60089, USA</v>
      </c>
      <c r="AT190" s="56" t="str">
        <f ca="1">IF(BA190&gt;0,_xlfn.XLOOKUP(A190,'1C'!$A:$A,'1C'!O:O,"",0),IF(AR190&lt;&gt;"",VLOOKUP(AR190,INDIRECT(SUBSTITUTE($J190," ","")&amp;"Manufactures"),2,0),"Требуется код страны"))</f>
        <v>Бангладеш</v>
      </c>
      <c r="AU190" s="76">
        <f t="shared" si="2"/>
        <v>0.1</v>
      </c>
      <c r="AV190" s="43">
        <f t="shared" si="3"/>
        <v>0.15000000000000002</v>
      </c>
      <c r="AW190" s="43">
        <f t="shared" si="4"/>
        <v>0.60000000000000009</v>
      </c>
      <c r="AX190" s="43">
        <f t="shared" si="5"/>
        <v>0.90000000000000013</v>
      </c>
      <c r="AY190" s="155">
        <v>8.2883333333333322</v>
      </c>
      <c r="AZ190" s="156">
        <f t="shared" si="6"/>
        <v>49.72999999999999</v>
      </c>
      <c r="BA190" s="45">
        <f>IF(A190&lt;&gt;"",IF(_xlfn.XLOOKUP(A190,'1C'!A:A,'1C'!A:A,0,0)&gt;0,1,0),"")</f>
        <v>1</v>
      </c>
      <c r="BB190" s="150">
        <f>IF(C190&lt;&gt;"",IF(_xlfn.XLOOKUP(C190,'1C'!S:S,'1C'!S:S,0,0)&gt;0,0,1),"")</f>
        <v>0</v>
      </c>
      <c r="BC190" s="45">
        <f t="shared" si="7"/>
        <v>0</v>
      </c>
    </row>
    <row r="191" spans="1:55" ht="127.35" customHeight="1">
      <c r="A191" s="43" t="str">
        <f t="shared" si="0"/>
        <v>44747A-CAGNavy</v>
      </c>
      <c r="B191" s="45" t="str">
        <f>IF(C191&lt;&gt;"",_xlfn.XLOOKUP(A191,'1C'!A:A,'1C'!B:B,MID(_xlfn.XLOOKUP(C191,'1C'!S:S,'1C'!B:B,"new",0),1,7)&amp;IF(BC191=1,IF(L191&lt;&gt;"",_xlfn.XLOOKUP(L191,Colors!A:A,Colors!B:B,"new",0),"требуется цвет"),""),0))</f>
        <v>06-463-16</v>
      </c>
      <c r="C191" s="44" t="s">
        <v>2228</v>
      </c>
      <c r="D191" s="43" t="str">
        <f>VLOOKUP(C191,Names!A:B,2,0)</f>
        <v>CHI AMERICAN GIANTS Archive NL</v>
      </c>
      <c r="E191" s="43" t="str">
        <f>IF(F191&lt;&gt;"",IFERROR(VLOOKUP(F191,Категории!A:B,2,0),""),"Требуется категория")</f>
        <v>Бейсболки</v>
      </c>
      <c r="F191" s="44" t="s">
        <v>327</v>
      </c>
      <c r="G191" s="44" t="s">
        <v>884</v>
      </c>
      <c r="H191" s="44" t="s">
        <v>388</v>
      </c>
      <c r="J191" s="43" t="str">
        <f>'1C'!$AF$1</f>
        <v>American Needle</v>
      </c>
      <c r="K191" s="104" t="s">
        <v>54</v>
      </c>
      <c r="L191" s="59" t="str">
        <f>IF(K191&lt;&gt;"",IFERROR(VLOOKUP(A191,'1C'!A:T,8,0),IFERROR(VLOOKUP(K191,Colors!D:E,2,0),"")),"")</f>
        <v>темно-синий</v>
      </c>
      <c r="M191" s="59" t="str">
        <f>IF(K191&lt;&gt;"",IFERROR(VLOOKUP(A191,'1C'!A:T,18,0),IFERROR(VLOOKUP(K191,Colors!D:E,2,0),"")),"")</f>
        <v>темно-синий</v>
      </c>
      <c r="N191" s="141" t="str">
        <f>Order!B189</f>
        <v>100% Хлопок</v>
      </c>
      <c r="P191" s="44" t="s">
        <v>43</v>
      </c>
      <c r="Q191" s="59" t="s">
        <v>15</v>
      </c>
      <c r="R191" s="58" t="s">
        <v>382</v>
      </c>
      <c r="S191" s="44">
        <v>24</v>
      </c>
      <c r="AQ191" s="59">
        <f t="shared" si="1"/>
        <v>24</v>
      </c>
      <c r="AR191" s="66" t="str">
        <f>Order!A189</f>
        <v>BD</v>
      </c>
      <c r="AS191" s="56" t="str">
        <f ca="1">IF(BA191&gt;0,_xlfn.XLOOKUP(A191,'1C'!$A:$A,'1C'!P:P,"",0,),IF(AR191&lt;&gt;"",VLOOKUP(AR191,INDIRECT(SUBSTITUTE($J191," ","")&amp;"Manufactures"),3,0),"Требуется код страны"))</f>
        <v>American Needle, Inc; 1275 Busch Parkway, Buffalo Grove, IL 60089, USA</v>
      </c>
      <c r="AT191" s="56" t="str">
        <f ca="1">IF(BA191&gt;0,_xlfn.XLOOKUP(A191,'1C'!$A:$A,'1C'!O:O,"",0),IF(AR191&lt;&gt;"",VLOOKUP(AR191,INDIRECT(SUBSTITUTE($J191," ","")&amp;"Manufactures"),2,0),"Требуется код страны"))</f>
        <v>Бангладеш</v>
      </c>
      <c r="AU191" s="76">
        <f t="shared" si="2"/>
        <v>0.1</v>
      </c>
      <c r="AV191" s="43">
        <f t="shared" si="3"/>
        <v>0.15000000000000002</v>
      </c>
      <c r="AW191" s="43">
        <f t="shared" si="4"/>
        <v>2.4000000000000004</v>
      </c>
      <c r="AX191" s="43">
        <f t="shared" si="5"/>
        <v>3.6000000000000005</v>
      </c>
      <c r="AY191" s="155">
        <v>8.2874999999999996</v>
      </c>
      <c r="AZ191" s="156">
        <f t="shared" si="6"/>
        <v>198.89999999999998</v>
      </c>
      <c r="BA191" s="45">
        <f>IF(A191&lt;&gt;"",IF(_xlfn.XLOOKUP(A191,'1C'!A:A,'1C'!A:A,0,0)&gt;0,1,0),"")</f>
        <v>0</v>
      </c>
      <c r="BB191" s="150">
        <f>IF(C191&lt;&gt;"",IF(_xlfn.XLOOKUP(C191,'1C'!S:S,'1C'!S:S,0,0)&gt;0,0,1),"")</f>
        <v>0</v>
      </c>
      <c r="BC191" s="45">
        <f t="shared" si="7"/>
        <v>1</v>
      </c>
    </row>
    <row r="192" spans="1:55" ht="119.65" customHeight="1">
      <c r="A192" s="43" t="str">
        <f t="shared" si="0"/>
        <v>44747A-CNTnavy</v>
      </c>
      <c r="B192" s="45" t="str">
        <f>IF(C192&lt;&gt;"",_xlfn.XLOOKUP(A192,'1C'!A:A,'1C'!B:B,MID(_xlfn.XLOOKUP(C192,'1C'!S:S,'1C'!B:B,"new",0),1,7)&amp;IF(BC192=1,IF(L192&lt;&gt;"",_xlfn.XLOOKUP(L192,Colors!A:A,Colors!B:B,"new",0),"требуется цвет"),""),0))</f>
        <v>06-095-16</v>
      </c>
      <c r="C192" s="44" t="s">
        <v>2229</v>
      </c>
      <c r="D192" s="43" t="str">
        <f>IF(A192&lt;&gt;"",_xlfn.XLOOKUP(C192,'1C'!S:S,'1C'!T:T,"",0),"")</f>
        <v>Cincinnati Tigers Archive NL</v>
      </c>
      <c r="E192" s="43" t="str">
        <f>IF(F192&lt;&gt;"",IFERROR(VLOOKUP(F192,Категории!A:B,2,0),""),"Требуется категория")</f>
        <v>Бейсболки</v>
      </c>
      <c r="F192" s="43" t="str">
        <f>IF(A192&lt;&gt;"",IF(BA192&gt;0,_xlfn.XLOOKUP(A192,'1C'!A:A,'1C'!J:J,"",0),_xlfn.XLOOKUP(C192,'1C'!S:S,'1C'!J:J,"",0)),"")</f>
        <v>Бейсболка</v>
      </c>
      <c r="G192" s="43" t="str">
        <f>IF(C192&lt;&gt;"",IF(BA192&gt;0,_xlfn.XLOOKUP(A192,'1C'!A:A,'1C'!L:L,"",0),_xlfn.XLOOKUP(C192,'1C'!S:S,'1C'!L:L,"",0)),"")</f>
        <v>Sport</v>
      </c>
      <c r="H192" s="43" t="str">
        <f>IF(A192&lt;&gt;"",_xlfn.XLOOKUP(A192,'1C'!A:A,'1C'!M:M,_xlfn.XLOOKUP(C192,'1C'!S:S,'1C'!M:M,"",0),0))</f>
        <v>всесезон</v>
      </c>
      <c r="J192" s="43" t="str">
        <f>'1C'!$AF$1</f>
        <v>American Needle</v>
      </c>
      <c r="K192" s="104" t="s">
        <v>818</v>
      </c>
      <c r="L192" s="59" t="str">
        <f>IF(K192&lt;&gt;"",IFERROR(VLOOKUP(A192,'1C'!A:T,8,0),IFERROR(VLOOKUP(K192,Colors!D:E,2,0),"")),"")</f>
        <v>темно-синий</v>
      </c>
      <c r="M192" s="59" t="str">
        <f>IF(K192&lt;&gt;"",IFERROR(VLOOKUP(A192,'1C'!A:T,18,0),IFERROR(VLOOKUP(K192,Colors!D:E,2,0),"")),"")</f>
        <v>синий</v>
      </c>
      <c r="N192" s="147" t="str">
        <f>IF(A192&lt;&gt;"",_xlfn.XLOOKUP(A192,'1C'!A:A,'1C'!I:I,_xlfn.XLOOKUP(C192,'1C'!S:S,'1C'!I:I,"",0),0),"")</f>
        <v>100% хлопок</v>
      </c>
      <c r="P192" s="43" t="str">
        <f>IF(A192&lt;&gt;"",_xlfn.XLOOKUP(A192,'1C'!A:A,'1C'!N:N,_xlfn.XLOOKUP(C192,'1C'!S:S,'1C'!N:N,"",0),0),"")</f>
        <v>хлопковые</v>
      </c>
      <c r="Q192" s="59" t="s">
        <v>15</v>
      </c>
      <c r="R192" s="43" t="str">
        <f>IF(A192&lt;&gt;"",_xlfn.XLOOKUP(A192,'1C'!A:A,'1C'!K:K,_xlfn.XLOOKUP(C192,'1C'!S:S,'1C'!K:K,"",0),0),"")</f>
        <v>Унисекс</v>
      </c>
      <c r="S192" s="44">
        <v>18</v>
      </c>
      <c r="AQ192" s="59">
        <f t="shared" si="1"/>
        <v>18</v>
      </c>
      <c r="AR192" s="43" t="str">
        <f>IF(A192&lt;&gt;"",_xlfn.XLOOKUP(_xlfn.XLOOKUP(A192,'1C'!A:A,'1C'!O:O,_xlfn.XLOOKUP(C192,'1C'!S:S,'1C'!O:O,"",0),0),Settings!N:N,Settings!O:O,"",0),"")</f>
        <v>BD</v>
      </c>
      <c r="AS192" s="56" t="str">
        <f ca="1">IF(BA192&gt;0,_xlfn.XLOOKUP(A192,'1C'!$A:$A,'1C'!P:P,"",0,),IF(AR192&lt;&gt;"",VLOOKUP(AR192,INDIRECT(SUBSTITUTE($J192," ","")&amp;"Manufactures"),3,0),"Требуется код страны"))</f>
        <v>American Needle, Inc; 1275 Busch Parkway, Buffalo Grove, IL 60089, USA</v>
      </c>
      <c r="AT192" s="56" t="str">
        <f ca="1">IF(BA192&gt;0,_xlfn.XLOOKUP(A192,'1C'!$A:$A,'1C'!O:O,"",0),IF(AR192&lt;&gt;"",VLOOKUP(AR192,INDIRECT(SUBSTITUTE($J192," ","")&amp;"Manufactures"),2,0),"Требуется код страны"))</f>
        <v>Бангладеш</v>
      </c>
      <c r="AU192" s="76">
        <f t="shared" si="2"/>
        <v>0.1</v>
      </c>
      <c r="AV192" s="43">
        <f t="shared" si="3"/>
        <v>0.15000000000000002</v>
      </c>
      <c r="AW192" s="43">
        <f t="shared" si="4"/>
        <v>1.8</v>
      </c>
      <c r="AX192" s="43">
        <f t="shared" si="5"/>
        <v>2.7</v>
      </c>
      <c r="AY192" s="155">
        <v>8.2877777777777784</v>
      </c>
      <c r="AZ192" s="156">
        <f t="shared" si="6"/>
        <v>149.18</v>
      </c>
      <c r="BA192" s="45">
        <f>IF(A192&lt;&gt;"",IF(_xlfn.XLOOKUP(A192,'1C'!A:A,'1C'!A:A,0,0)&gt;0,1,0),"")</f>
        <v>1</v>
      </c>
      <c r="BB192" s="150">
        <f>IF(C192&lt;&gt;"",IF(_xlfn.XLOOKUP(C192,'1C'!S:S,'1C'!S:S,0,0)&gt;0,0,1),"")</f>
        <v>0</v>
      </c>
      <c r="BC192" s="45">
        <f t="shared" si="7"/>
        <v>0</v>
      </c>
    </row>
    <row r="193" spans="1:55" ht="115.7" customHeight="1">
      <c r="A193" s="43" t="str">
        <f t="shared" si="0"/>
        <v>44747A-KCMnavy</v>
      </c>
      <c r="B193" s="45" t="str">
        <f>IF(C193&lt;&gt;"",_xlfn.XLOOKUP(A193,'1C'!A:A,'1C'!B:B,MID(_xlfn.XLOOKUP(C193,'1C'!S:S,'1C'!B:B,"new",0),1,7)&amp;IF(BC193=1,IF(L193&lt;&gt;"",_xlfn.XLOOKUP(L193,Colors!A:A,Colors!B:B,"new",0),"требуется цвет"),""),0))</f>
        <v>06-464-16</v>
      </c>
      <c r="C193" s="44" t="s">
        <v>2230</v>
      </c>
      <c r="D193" s="43" t="str">
        <f>VLOOKUP(C193,Names!A:B,2,0)</f>
        <v>KC MONARCHS Archive NL</v>
      </c>
      <c r="E193" s="43" t="str">
        <f>IF(F193&lt;&gt;"",IFERROR(VLOOKUP(F193,Категории!A:B,2,0),""),"Требуется категория")</f>
        <v>Бейсболки</v>
      </c>
      <c r="F193" s="44" t="s">
        <v>327</v>
      </c>
      <c r="G193" s="44" t="s">
        <v>884</v>
      </c>
      <c r="H193" s="44" t="s">
        <v>388</v>
      </c>
      <c r="J193" s="43" t="str">
        <f>'1C'!$AF$1</f>
        <v>American Needle</v>
      </c>
      <c r="K193" s="104" t="s">
        <v>818</v>
      </c>
      <c r="L193" s="59" t="str">
        <f>IF(K193&lt;&gt;"",IFERROR(VLOOKUP(A193,'1C'!A:T,8,0),IFERROR(VLOOKUP(K193,Colors!D:E,2,0),"")),"")</f>
        <v>темно-синий</v>
      </c>
      <c r="M193" s="59" t="str">
        <f>IF(K193&lt;&gt;"",IFERROR(VLOOKUP(A193,'1C'!A:T,18,0),IFERROR(VLOOKUP(K193,Colors!D:E,2,0),"")),"")</f>
        <v>темно-синий</v>
      </c>
      <c r="N193" s="141" t="str">
        <f>Order!B191</f>
        <v>100% Хлопок</v>
      </c>
      <c r="P193" s="44" t="s">
        <v>43</v>
      </c>
      <c r="Q193" s="59" t="s">
        <v>15</v>
      </c>
      <c r="R193" s="58" t="s">
        <v>382</v>
      </c>
      <c r="S193" s="44">
        <v>14</v>
      </c>
      <c r="AQ193" s="59">
        <f t="shared" si="1"/>
        <v>14</v>
      </c>
      <c r="AR193" s="66" t="str">
        <f>Order!A191</f>
        <v>BD</v>
      </c>
      <c r="AS193" s="56" t="str">
        <f ca="1">IF(BA193&gt;0,_xlfn.XLOOKUP(A193,'1C'!$A:$A,'1C'!P:P,"",0,),IF(AR193&lt;&gt;"",VLOOKUP(AR193,INDIRECT(SUBSTITUTE($J193," ","")&amp;"Manufactures"),3,0),"Требуется код страны"))</f>
        <v>American Needle, Inc; 1275 Busch Parkway, Buffalo Grove, IL 60089, USA</v>
      </c>
      <c r="AT193" s="56" t="str">
        <f ca="1">IF(BA193&gt;0,_xlfn.XLOOKUP(A193,'1C'!$A:$A,'1C'!O:O,"",0),IF(AR193&lt;&gt;"",VLOOKUP(AR193,INDIRECT(SUBSTITUTE($J193," ","")&amp;"Manufactures"),2,0),"Требуется код страны"))</f>
        <v>Бангладеш</v>
      </c>
      <c r="AU193" s="76">
        <f t="shared" si="2"/>
        <v>0.1</v>
      </c>
      <c r="AV193" s="43">
        <f t="shared" si="3"/>
        <v>0.15000000000000002</v>
      </c>
      <c r="AW193" s="43">
        <f t="shared" si="4"/>
        <v>1.4000000000000001</v>
      </c>
      <c r="AX193" s="43">
        <f t="shared" si="5"/>
        <v>2.1000000000000005</v>
      </c>
      <c r="AY193" s="155">
        <v>8.2878571428571437</v>
      </c>
      <c r="AZ193" s="156">
        <f t="shared" si="6"/>
        <v>116.03000000000002</v>
      </c>
      <c r="BA193" s="45">
        <f>IF(A193&lt;&gt;"",IF(_xlfn.XLOOKUP(A193,'1C'!A:A,'1C'!A:A,0,0)&gt;0,1,0),"")</f>
        <v>0</v>
      </c>
      <c r="BB193" s="150">
        <f>IF(C193&lt;&gt;"",IF(_xlfn.XLOOKUP(C193,'1C'!S:S,'1C'!S:S,0,0)&gt;0,0,1),"")</f>
        <v>0</v>
      </c>
      <c r="BC193" s="45">
        <f t="shared" si="7"/>
        <v>1</v>
      </c>
    </row>
    <row r="194" spans="1:55" ht="119.65" customHeight="1">
      <c r="A194" s="43" t="str">
        <f t="shared" si="0"/>
        <v>44747A-LAWnavy</v>
      </c>
      <c r="B194" s="45" t="str">
        <f>IF(C194&lt;&gt;"",_xlfn.XLOOKUP(A194,'1C'!A:A,'1C'!B:B,MID(_xlfn.XLOOKUP(C194,'1C'!S:S,'1C'!B:B,"new",0),1,7)&amp;IF(BC194=1,IF(L194&lt;&gt;"",_xlfn.XLOOKUP(L194,Colors!A:A,Colors!B:B,"new",0),"требуется цвет"),""),0))</f>
        <v>06-465-16</v>
      </c>
      <c r="C194" s="44" t="s">
        <v>2231</v>
      </c>
      <c r="D194" s="43" t="str">
        <f>VLOOKUP(C194,Names!A:B,2,0)</f>
        <v>Los Angeles White Sox Archive NL</v>
      </c>
      <c r="E194" s="43" t="str">
        <f>IF(F194&lt;&gt;"",IFERROR(VLOOKUP(F194,Категории!A:B,2,0),""),"Требуется категория")</f>
        <v>Бейсболки</v>
      </c>
      <c r="F194" s="44" t="s">
        <v>327</v>
      </c>
      <c r="G194" s="44" t="s">
        <v>884</v>
      </c>
      <c r="H194" s="44" t="s">
        <v>388</v>
      </c>
      <c r="J194" s="43" t="str">
        <f>'1C'!$AF$1</f>
        <v>American Needle</v>
      </c>
      <c r="K194" s="104" t="s">
        <v>818</v>
      </c>
      <c r="L194" s="59" t="str">
        <f>IF(K194&lt;&gt;"",IFERROR(VLOOKUP(A194,'1C'!A:T,8,0),IFERROR(VLOOKUP(K194,Colors!D:E,2,0),"")),"")</f>
        <v>темно-синий</v>
      </c>
      <c r="M194" s="59" t="str">
        <f>IF(K194&lt;&gt;"",IFERROR(VLOOKUP(A194,'1C'!A:T,18,0),IFERROR(VLOOKUP(K194,Colors!D:E,2,0),"")),"")</f>
        <v>темно-синий</v>
      </c>
      <c r="N194" s="141" t="str">
        <f>Order!B192</f>
        <v>100% Хлопок</v>
      </c>
      <c r="P194" s="44" t="s">
        <v>43</v>
      </c>
      <c r="Q194" s="59" t="s">
        <v>15</v>
      </c>
      <c r="R194" s="58" t="s">
        <v>382</v>
      </c>
      <c r="S194" s="44">
        <v>46</v>
      </c>
      <c r="AQ194" s="59">
        <f t="shared" si="1"/>
        <v>46</v>
      </c>
      <c r="AR194" s="66" t="str">
        <f>Order!A192</f>
        <v>BD</v>
      </c>
      <c r="AS194" s="56" t="str">
        <f ca="1">IF(BA194&gt;0,_xlfn.XLOOKUP(A194,'1C'!$A:$A,'1C'!P:P,"",0,),IF(AR194&lt;&gt;"",VLOOKUP(AR194,INDIRECT(SUBSTITUTE($J194," ","")&amp;"Manufactures"),3,0),"Требуется код страны"))</f>
        <v>American Needle, Inc; 1275 Busch Parkway, Buffalo Grove, IL 60089, USA</v>
      </c>
      <c r="AT194" s="56" t="str">
        <f ca="1">IF(BA194&gt;0,_xlfn.XLOOKUP(A194,'1C'!$A:$A,'1C'!O:O,"",0),IF(AR194&lt;&gt;"",VLOOKUP(AR194,INDIRECT(SUBSTITUTE($J194," ","")&amp;"Manufactures"),2,0),"Требуется код страны"))</f>
        <v>Бангладеш</v>
      </c>
      <c r="AU194" s="76">
        <f t="shared" si="2"/>
        <v>0.1</v>
      </c>
      <c r="AV194" s="43">
        <f t="shared" si="3"/>
        <v>0.15000000000000002</v>
      </c>
      <c r="AW194" s="43">
        <f t="shared" si="4"/>
        <v>4.6000000000000005</v>
      </c>
      <c r="AX194" s="43">
        <f t="shared" si="5"/>
        <v>6.9000000000000012</v>
      </c>
      <c r="AY194" s="155">
        <v>8.2876086956521746</v>
      </c>
      <c r="AZ194" s="156">
        <f t="shared" si="6"/>
        <v>381.23</v>
      </c>
      <c r="BA194" s="45">
        <f>IF(A194&lt;&gt;"",IF(_xlfn.XLOOKUP(A194,'1C'!A:A,'1C'!A:A,0,0)&gt;0,1,0),"")</f>
        <v>0</v>
      </c>
      <c r="BB194" s="150">
        <f>IF(C194&lt;&gt;"",IF(_xlfn.XLOOKUP(C194,'1C'!S:S,'1C'!S:S,0,0)&gt;0,0,1),"")</f>
        <v>0</v>
      </c>
      <c r="BC194" s="45">
        <f t="shared" si="7"/>
        <v>1</v>
      </c>
    </row>
    <row r="195" spans="1:55" ht="128.1" customHeight="1">
      <c r="A195" s="43" t="str">
        <f t="shared" si="0"/>
        <v>44747A-MILBnavy</v>
      </c>
      <c r="B195" s="45" t="str">
        <f>IF(C195&lt;&gt;"",_xlfn.XLOOKUP(A195,'1C'!A:A,'1C'!B:B,MID(_xlfn.XLOOKUP(C195,'1C'!S:S,'1C'!B:B,"new",0),1,7)&amp;IF(BC195=1,IF(L195&lt;&gt;"",_xlfn.XLOOKUP(L195,Colors!A:A,Colors!B:B,"new",0),"требуется цвет"),""),0))</f>
        <v>06-311-16</v>
      </c>
      <c r="C195" s="44" t="s">
        <v>2232</v>
      </c>
      <c r="D195" s="43" t="str">
        <f>IF(A195&lt;&gt;"",_xlfn.XLOOKUP(C195,'1C'!S:S,'1C'!T:T,"",0),"")</f>
        <v>Minor League Baseball Archive MILB</v>
      </c>
      <c r="E195" s="43" t="str">
        <f>IF(F195&lt;&gt;"",IFERROR(VLOOKUP(F195,Категории!A:B,2,0),""),"Требуется категория")</f>
        <v>Бейсболки</v>
      </c>
      <c r="F195" s="43" t="str">
        <f>IF(A195&lt;&gt;"",IF(BA195&gt;0,_xlfn.XLOOKUP(A195,'1C'!A:A,'1C'!J:J,"",0),_xlfn.XLOOKUP(C195,'1C'!S:S,'1C'!J:J,"",0)),"")</f>
        <v>Бейсболка</v>
      </c>
      <c r="G195" s="43" t="str">
        <f>IF(C195&lt;&gt;"",IF(BA195&gt;0,_xlfn.XLOOKUP(A195,'1C'!A:A,'1C'!L:L,"",0),_xlfn.XLOOKUP(C195,'1C'!S:S,'1C'!L:L,"",0)),"")</f>
        <v>Sport</v>
      </c>
      <c r="H195" s="43" t="str">
        <f>IF(A195&lt;&gt;"",_xlfn.XLOOKUP(A195,'1C'!A:A,'1C'!M:M,_xlfn.XLOOKUP(C195,'1C'!S:S,'1C'!M:M,"",0),0))</f>
        <v>всесезон</v>
      </c>
      <c r="J195" s="43" t="str">
        <f>'1C'!$AF$1</f>
        <v>American Needle</v>
      </c>
      <c r="K195" s="104" t="s">
        <v>818</v>
      </c>
      <c r="L195" s="59" t="str">
        <f>IF(K195&lt;&gt;"",IFERROR(VLOOKUP(A195,'1C'!A:T,8,0),IFERROR(VLOOKUP(K195,Colors!D:E,2,0),"")),"")</f>
        <v>темно-синий</v>
      </c>
      <c r="M195" s="59" t="str">
        <f>IF(K195&lt;&gt;"",IFERROR(VLOOKUP(A195,'1C'!A:T,18,0),IFERROR(VLOOKUP(K195,Colors!D:E,2,0),"")),"")</f>
        <v>синий</v>
      </c>
      <c r="N195" s="147" t="str">
        <f>IF(A195&lt;&gt;"",_xlfn.XLOOKUP(A195,'1C'!A:A,'1C'!I:I,_xlfn.XLOOKUP(C195,'1C'!S:S,'1C'!I:I,"",0),0),"")</f>
        <v>100% хлопок</v>
      </c>
      <c r="P195" s="43" t="str">
        <f>IF(A195&lt;&gt;"",_xlfn.XLOOKUP(A195,'1C'!A:A,'1C'!N:N,_xlfn.XLOOKUP(C195,'1C'!S:S,'1C'!N:N,"",0),0),"")</f>
        <v>хлопковые</v>
      </c>
      <c r="Q195" s="59" t="s">
        <v>15</v>
      </c>
      <c r="R195" s="43" t="str">
        <f>IF(A195&lt;&gt;"",_xlfn.XLOOKUP(A195,'1C'!A:A,'1C'!K:K,_xlfn.XLOOKUP(C195,'1C'!S:S,'1C'!K:K,"",0),0),"")</f>
        <v>Унисекс</v>
      </c>
      <c r="S195" s="44">
        <v>36</v>
      </c>
      <c r="AQ195" s="59">
        <f t="shared" si="1"/>
        <v>36</v>
      </c>
      <c r="AR195" s="43" t="str">
        <f>IF(A195&lt;&gt;"",_xlfn.XLOOKUP(_xlfn.XLOOKUP(A195,'1C'!A:A,'1C'!O:O,_xlfn.XLOOKUP(C195,'1C'!S:S,'1C'!O:O,"",0),0),Settings!N:N,Settings!O:O,"",0),"")</f>
        <v>BD</v>
      </c>
      <c r="AS195" s="56" t="str">
        <f ca="1">IF(BA195&gt;0,_xlfn.XLOOKUP(A195,'1C'!$A:$A,'1C'!P:P,"",0,),IF(AR195&lt;&gt;"",VLOOKUP(AR195,INDIRECT(SUBSTITUTE($J195," ","")&amp;"Manufactures"),3,0),"Требуется код страны"))</f>
        <v>American Needle, Inc; 1275 Busch Parkway, Buffalo Grove, IL 60089, USA</v>
      </c>
      <c r="AT195" s="56" t="str">
        <f ca="1">IF(BA195&gt;0,_xlfn.XLOOKUP(A195,'1C'!$A:$A,'1C'!O:O,"",0),IF(AR195&lt;&gt;"",VLOOKUP(AR195,INDIRECT(SUBSTITUTE($J195," ","")&amp;"Manufactures"),2,0),"Требуется код страны"))</f>
        <v>Бангладеш</v>
      </c>
      <c r="AU195" s="76">
        <f t="shared" si="2"/>
        <v>0.1</v>
      </c>
      <c r="AV195" s="43">
        <f t="shared" si="3"/>
        <v>0.15000000000000002</v>
      </c>
      <c r="AW195" s="43">
        <f t="shared" si="4"/>
        <v>3.6</v>
      </c>
      <c r="AX195" s="43">
        <f t="shared" si="5"/>
        <v>5.4</v>
      </c>
      <c r="AY195" s="155">
        <v>8.2875000000000014</v>
      </c>
      <c r="AZ195" s="156">
        <f t="shared" si="6"/>
        <v>298.35000000000002</v>
      </c>
      <c r="BA195" s="45">
        <f>IF(A195&lt;&gt;"",IF(_xlfn.XLOOKUP(A195,'1C'!A:A,'1C'!A:A,0,0)&gt;0,1,0),"")</f>
        <v>1</v>
      </c>
      <c r="BB195" s="150">
        <f>IF(C195&lt;&gt;"",IF(_xlfn.XLOOKUP(C195,'1C'!S:S,'1C'!S:S,0,0)&gt;0,0,1),"")</f>
        <v>0</v>
      </c>
      <c r="BC195" s="45">
        <f t="shared" si="7"/>
        <v>0</v>
      </c>
    </row>
    <row r="196" spans="1:55" ht="112.7" customHeight="1">
      <c r="A196" s="43" t="str">
        <f t="shared" si="0"/>
        <v>44747A-MMLblor</v>
      </c>
      <c r="B196" s="45" t="str">
        <f>IF(C196&lt;&gt;"",_xlfn.XLOOKUP(A196,'1C'!A:A,'1C'!B:B,MID(_xlfn.XLOOKUP(C196,'1C'!S:S,'1C'!B:B,"new",0),1,7)&amp;IF(BC196=1,IF(L196&lt;&gt;"",_xlfn.XLOOKUP(L196,Colors!A:A,Colors!B:B,"new",0),"требуется цвет"),""),0))</f>
        <v>06-096-05</v>
      </c>
      <c r="C196" s="44" t="s">
        <v>2233</v>
      </c>
      <c r="D196" s="43" t="str">
        <f>IF(A196&lt;&gt;"",_xlfn.XLOOKUP(C196,'1C'!S:S,'1C'!T:T,"",0),"")</f>
        <v>Minneapolis Millers Archive MILB</v>
      </c>
      <c r="E196" s="43" t="str">
        <f>IF(F196&lt;&gt;"",IFERROR(VLOOKUP(F196,Категории!A:B,2,0),""),"Требуется категория")</f>
        <v>Бейсболки</v>
      </c>
      <c r="F196" s="43" t="str">
        <f>IF(A196&lt;&gt;"",IF(BA196&gt;0,_xlfn.XLOOKUP(A196,'1C'!A:A,'1C'!J:J,"",0),_xlfn.XLOOKUP(C196,'1C'!S:S,'1C'!J:J,"",0)),"")</f>
        <v>Бейсболка</v>
      </c>
      <c r="G196" s="43" t="str">
        <f>IF(C196&lt;&gt;"",IF(BA196&gt;0,_xlfn.XLOOKUP(A196,'1C'!A:A,'1C'!L:L,"",0),_xlfn.XLOOKUP(C196,'1C'!S:S,'1C'!L:L,"",0)),"")</f>
        <v>AMERICAN NEEDLE-Sport</v>
      </c>
      <c r="H196" s="43" t="str">
        <f>IF(A196&lt;&gt;"",_xlfn.XLOOKUP(A196,'1C'!A:A,'1C'!M:M,_xlfn.XLOOKUP(C196,'1C'!S:S,'1C'!M:M,"",0),0))</f>
        <v>всесезон</v>
      </c>
      <c r="J196" s="43" t="str">
        <f>'1C'!$AF$1</f>
        <v>American Needle</v>
      </c>
      <c r="K196" s="104" t="s">
        <v>932</v>
      </c>
      <c r="L196" s="59" t="str">
        <f>IF(K196&lt;&gt;"",IFERROR(VLOOKUP(A196,'1C'!A:T,8,0),IFERROR(VLOOKUP(K196,Colors!D:E,2,0),"")),"")</f>
        <v>темно-серый</v>
      </c>
      <c r="M196" s="59" t="str">
        <f>IF(K196&lt;&gt;"",IFERROR(VLOOKUP(A196,'1C'!A:T,18,0),IFERROR(VLOOKUP(K196,Colors!D:E,2,0),"")),"")</f>
        <v>серый</v>
      </c>
      <c r="N196" s="147" t="str">
        <f>IF(A196&lt;&gt;"",_xlfn.XLOOKUP(A196,'1C'!A:A,'1C'!I:I,_xlfn.XLOOKUP(C196,'1C'!S:S,'1C'!I:I,"",0),0),"")</f>
        <v>100% хлопок</v>
      </c>
      <c r="P196" s="43" t="str">
        <f>IF(A196&lt;&gt;"",_xlfn.XLOOKUP(A196,'1C'!A:A,'1C'!N:N,_xlfn.XLOOKUP(C196,'1C'!S:S,'1C'!N:N,"",0),0),"")</f>
        <v>хлопковые</v>
      </c>
      <c r="Q196" s="59" t="s">
        <v>15</v>
      </c>
      <c r="R196" s="43" t="str">
        <f>IF(A196&lt;&gt;"",_xlfn.XLOOKUP(A196,'1C'!A:A,'1C'!K:K,_xlfn.XLOOKUP(C196,'1C'!S:S,'1C'!K:K,"",0),0),"")</f>
        <v>Унисекс</v>
      </c>
      <c r="S196" s="44">
        <v>49</v>
      </c>
      <c r="AQ196" s="59">
        <f t="shared" si="1"/>
        <v>49</v>
      </c>
      <c r="AR196" s="43" t="str">
        <f>IF(A196&lt;&gt;"",_xlfn.XLOOKUP(_xlfn.XLOOKUP(A196,'1C'!A:A,'1C'!O:O,_xlfn.XLOOKUP(C196,'1C'!S:S,'1C'!O:O,"",0),0),Settings!N:N,Settings!O:O,"",0),"")</f>
        <v>BD</v>
      </c>
      <c r="AS196" s="56" t="str">
        <f ca="1">IF(BA196&gt;0,_xlfn.XLOOKUP(A196,'1C'!$A:$A,'1C'!P:P,"",0,),IF(AR196&lt;&gt;"",VLOOKUP(AR196,INDIRECT(SUBSTITUTE($J196," ","")&amp;"Manufactures"),3,0),"Требуется код страны"))</f>
        <v>American Needle, Inc; 1275 Busch Parkway, Buffalo Grove, IL 60089, USA</v>
      </c>
      <c r="AT196" s="56" t="str">
        <f ca="1">IF(BA196&gt;0,_xlfn.XLOOKUP(A196,'1C'!$A:$A,'1C'!O:O,"",0),IF(AR196&lt;&gt;"",VLOOKUP(AR196,INDIRECT(SUBSTITUTE($J196," ","")&amp;"Manufactures"),2,0),"Требуется код страны"))</f>
        <v>Бангладеш</v>
      </c>
      <c r="AU196" s="76">
        <f t="shared" si="2"/>
        <v>0.1</v>
      </c>
      <c r="AV196" s="43">
        <f t="shared" si="3"/>
        <v>0.15000000000000002</v>
      </c>
      <c r="AW196" s="43">
        <f t="shared" si="4"/>
        <v>4.9000000000000004</v>
      </c>
      <c r="AX196" s="43">
        <f t="shared" si="5"/>
        <v>7.3500000000000014</v>
      </c>
      <c r="AY196" s="155">
        <v>8.2875510204081628</v>
      </c>
      <c r="AZ196" s="156">
        <f t="shared" si="6"/>
        <v>406.09</v>
      </c>
      <c r="BA196" s="45">
        <f>IF(A196&lt;&gt;"",IF(_xlfn.XLOOKUP(A196,'1C'!A:A,'1C'!A:A,0,0)&gt;0,1,0),"")</f>
        <v>1</v>
      </c>
      <c r="BB196" s="150">
        <f>IF(C196&lt;&gt;"",IF(_xlfn.XLOOKUP(C196,'1C'!S:S,'1C'!S:S,0,0)&gt;0,0,1),"")</f>
        <v>0</v>
      </c>
      <c r="BC196" s="45">
        <f t="shared" si="7"/>
        <v>0</v>
      </c>
    </row>
    <row r="197" spans="1:55" ht="119.65" customHeight="1">
      <c r="A197" s="43" t="str">
        <f t="shared" si="0"/>
        <v>44747A-MOUnvor</v>
      </c>
      <c r="B197" s="45" t="str">
        <f>IF(C197&lt;&gt;"",_xlfn.XLOOKUP(A197,'1C'!A:A,'1C'!B:B,MID(_xlfn.XLOOKUP(C197,'1C'!S:S,'1C'!B:B,"new",0),1,7)&amp;IF(BC197=1,IF(L197&lt;&gt;"",_xlfn.XLOOKUP(L197,Colors!A:A,Colors!B:B,"new",0),"требуется цвет"),""),0))</f>
        <v>06-312-91</v>
      </c>
      <c r="C197" s="44" t="s">
        <v>2234</v>
      </c>
      <c r="D197" s="43" t="str">
        <f>IF(A197&lt;&gt;"",_xlfn.XLOOKUP(C197,'1C'!S:S,'1C'!T:T,"",0),"")</f>
        <v>Moultrie Colt .22s Archive MILB</v>
      </c>
      <c r="E197" s="43" t="str">
        <f>IF(F197&lt;&gt;"",IFERROR(VLOOKUP(F197,Категории!A:B,2,0),""),"Требуется категория")</f>
        <v>Бейсболки</v>
      </c>
      <c r="F197" s="43" t="str">
        <f>IF(A197&lt;&gt;"",IF(BA197&gt;0,_xlfn.XLOOKUP(A197,'1C'!A:A,'1C'!J:J,"",0),_xlfn.XLOOKUP(C197,'1C'!S:S,'1C'!J:J,"",0)),"")</f>
        <v>Бейсболка</v>
      </c>
      <c r="G197" s="43" t="str">
        <f>IF(C197&lt;&gt;"",IF(BA197&gt;0,_xlfn.XLOOKUP(A197,'1C'!A:A,'1C'!L:L,"",0),_xlfn.XLOOKUP(C197,'1C'!S:S,'1C'!L:L,"",0)),"")</f>
        <v>Sport</v>
      </c>
      <c r="H197" s="43" t="str">
        <f>IF(A197&lt;&gt;"",_xlfn.XLOOKUP(A197,'1C'!A:A,'1C'!M:M,_xlfn.XLOOKUP(C197,'1C'!S:S,'1C'!M:M,"",0),0))</f>
        <v>всесезон</v>
      </c>
      <c r="J197" s="43" t="str">
        <f>'1C'!$AF$1</f>
        <v>American Needle</v>
      </c>
      <c r="K197" s="104" t="s">
        <v>1100</v>
      </c>
      <c r="L197" s="59" t="str">
        <f>IF(K197&lt;&gt;"",IFERROR(VLOOKUP(A197,'1C'!A:T,8,0),IFERROR(VLOOKUP(K197,Colors!D:E,2,0),"")),"")</f>
        <v>темно-синий / оранжевый</v>
      </c>
      <c r="M197" s="59" t="str">
        <f>IF(K197&lt;&gt;"",IFERROR(VLOOKUP(A197,'1C'!A:T,18,0),IFERROR(VLOOKUP(K197,Colors!D:E,2,0),"")),"")</f>
        <v>синий</v>
      </c>
      <c r="N197" s="147" t="str">
        <f>IF(A197&lt;&gt;"",_xlfn.XLOOKUP(A197,'1C'!A:A,'1C'!I:I,_xlfn.XLOOKUP(C197,'1C'!S:S,'1C'!I:I,"",0),0),"")</f>
        <v>100% хлопок</v>
      </c>
      <c r="P197" s="43" t="str">
        <f>IF(A197&lt;&gt;"",_xlfn.XLOOKUP(A197,'1C'!A:A,'1C'!N:N,_xlfn.XLOOKUP(C197,'1C'!S:S,'1C'!N:N,"",0),0),"")</f>
        <v>хлопковые</v>
      </c>
      <c r="Q197" s="59" t="s">
        <v>15</v>
      </c>
      <c r="R197" s="43" t="str">
        <f>IF(A197&lt;&gt;"",_xlfn.XLOOKUP(A197,'1C'!A:A,'1C'!K:K,_xlfn.XLOOKUP(C197,'1C'!S:S,'1C'!K:K,"",0),0),"")</f>
        <v>Унисекс</v>
      </c>
      <c r="S197" s="44">
        <v>58</v>
      </c>
      <c r="AQ197" s="59">
        <f t="shared" si="1"/>
        <v>58</v>
      </c>
      <c r="AR197" s="43" t="str">
        <f>IF(A197&lt;&gt;"",_xlfn.XLOOKUP(_xlfn.XLOOKUP(A197,'1C'!A:A,'1C'!O:O,_xlfn.XLOOKUP(C197,'1C'!S:S,'1C'!O:O,"",0),0),Settings!N:N,Settings!O:O,"",0),"")</f>
        <v>BD</v>
      </c>
      <c r="AS197" s="56" t="str">
        <f ca="1">IF(BA197&gt;0,_xlfn.XLOOKUP(A197,'1C'!$A:$A,'1C'!P:P,"",0,),IF(AR197&lt;&gt;"",VLOOKUP(AR197,INDIRECT(SUBSTITUTE($J197," ","")&amp;"Manufactures"),3,0),"Требуется код страны"))</f>
        <v>American Needle, Inc; 1275 Busch Parkway, Buffalo Grove, IL 60089, USA</v>
      </c>
      <c r="AT197" s="56" t="str">
        <f ca="1">IF(BA197&gt;0,_xlfn.XLOOKUP(A197,'1C'!$A:$A,'1C'!O:O,"",0),IF(AR197&lt;&gt;"",VLOOKUP(AR197,INDIRECT(SUBSTITUTE($J197," ","")&amp;"Manufactures"),2,0),"Требуется код страны"))</f>
        <v>Бангладеш</v>
      </c>
      <c r="AU197" s="76">
        <f t="shared" si="2"/>
        <v>0.1</v>
      </c>
      <c r="AV197" s="43">
        <f t="shared" si="3"/>
        <v>0.15000000000000002</v>
      </c>
      <c r="AW197" s="43">
        <f t="shared" si="4"/>
        <v>5.8000000000000007</v>
      </c>
      <c r="AX197" s="43">
        <f t="shared" si="5"/>
        <v>8.7000000000000011</v>
      </c>
      <c r="AY197" s="155">
        <v>8.2875862068965525</v>
      </c>
      <c r="AZ197" s="156">
        <f t="shared" si="6"/>
        <v>480.68000000000006</v>
      </c>
      <c r="BA197" s="45">
        <f>IF(A197&lt;&gt;"",IF(_xlfn.XLOOKUP(A197,'1C'!A:A,'1C'!A:A,0,0)&gt;0,1,0),"")</f>
        <v>1</v>
      </c>
      <c r="BB197" s="150">
        <f>IF(C197&lt;&gt;"",IF(_xlfn.XLOOKUP(C197,'1C'!S:S,'1C'!S:S,0,0)&gt;0,0,1),"")</f>
        <v>0</v>
      </c>
      <c r="BC197" s="45">
        <f t="shared" si="7"/>
        <v>0</v>
      </c>
    </row>
    <row r="198" spans="1:55" ht="115.7" customHeight="1">
      <c r="A198" s="43" t="str">
        <f t="shared" si="0"/>
        <v>44747A-NBYblack</v>
      </c>
      <c r="B198" s="45" t="str">
        <f>IF(C198&lt;&gt;"",_xlfn.XLOOKUP(A198,'1C'!A:A,'1C'!B:B,MID(_xlfn.XLOOKUP(C198,'1C'!S:S,'1C'!B:B,"new",0),1,7)&amp;IF(BC198=1,IF(L198&lt;&gt;"",_xlfn.XLOOKUP(L198,Colors!A:A,Colors!B:B,"new",0),"требуется цвет"),""),0))</f>
        <v>06-466-09</v>
      </c>
      <c r="C198" s="44" t="s">
        <v>2235</v>
      </c>
      <c r="D198" s="43" t="str">
        <f>VLOOKUP(C198,Names!A:B,2,0)</f>
        <v>NY BLACK YANKEES NL Archive NL</v>
      </c>
      <c r="E198" s="43" t="str">
        <f>IF(F198&lt;&gt;"",IFERROR(VLOOKUP(F198,Категории!A:B,2,0),""),"Требуется категория")</f>
        <v>Бейсболки</v>
      </c>
      <c r="F198" s="44" t="s">
        <v>327</v>
      </c>
      <c r="G198" s="44" t="s">
        <v>884</v>
      </c>
      <c r="H198" s="44" t="s">
        <v>388</v>
      </c>
      <c r="J198" s="43" t="str">
        <f>'1C'!$AF$1</f>
        <v>American Needle</v>
      </c>
      <c r="K198" s="104" t="s">
        <v>819</v>
      </c>
      <c r="L198" s="59" t="str">
        <f>IF(K198&lt;&gt;"",IFERROR(VLOOKUP(A198,'1C'!A:T,8,0),IFERROR(VLOOKUP(K198,Colors!D:E,2,0),"")),"")</f>
        <v>черный</v>
      </c>
      <c r="M198" s="59" t="str">
        <f>IF(K198&lt;&gt;"",IFERROR(VLOOKUP(A198,'1C'!A:T,18,0),IFERROR(VLOOKUP(K198,Colors!D:E,2,0),"")),"")</f>
        <v>черный</v>
      </c>
      <c r="N198" s="141" t="str">
        <f>Order!B196</f>
        <v>100% Хлопок</v>
      </c>
      <c r="P198" s="44" t="s">
        <v>43</v>
      </c>
      <c r="Q198" s="59" t="s">
        <v>15</v>
      </c>
      <c r="R198" s="58" t="s">
        <v>382</v>
      </c>
      <c r="S198" s="44">
        <v>51</v>
      </c>
      <c r="AQ198" s="59">
        <f t="shared" si="1"/>
        <v>51</v>
      </c>
      <c r="AR198" s="66" t="str">
        <f>Order!A196</f>
        <v>BD</v>
      </c>
      <c r="AS198" s="56" t="str">
        <f ca="1">IF(BA198&gt;0,_xlfn.XLOOKUP(A198,'1C'!$A:$A,'1C'!P:P,"",0,),IF(AR198&lt;&gt;"",VLOOKUP(AR198,INDIRECT(SUBSTITUTE($J198," ","")&amp;"Manufactures"),3,0),"Требуется код страны"))</f>
        <v>American Needle, Inc; 1275 Busch Parkway, Buffalo Grove, IL 60089, USA</v>
      </c>
      <c r="AT198" s="56" t="str">
        <f ca="1">IF(BA198&gt;0,_xlfn.XLOOKUP(A198,'1C'!$A:$A,'1C'!O:O,"",0),IF(AR198&lt;&gt;"",VLOOKUP(AR198,INDIRECT(SUBSTITUTE($J198," ","")&amp;"Manufactures"),2,0),"Требуется код страны"))</f>
        <v>Бангладеш</v>
      </c>
      <c r="AU198" s="76">
        <f t="shared" si="2"/>
        <v>0.1</v>
      </c>
      <c r="AV198" s="43">
        <f t="shared" si="3"/>
        <v>0.15000000000000002</v>
      </c>
      <c r="AW198" s="43">
        <f t="shared" si="4"/>
        <v>5.1000000000000005</v>
      </c>
      <c r="AX198" s="43">
        <f t="shared" si="5"/>
        <v>7.6500000000000012</v>
      </c>
      <c r="AY198" s="155">
        <v>8.2874509803921566</v>
      </c>
      <c r="AZ198" s="156">
        <f t="shared" si="6"/>
        <v>422.65999999999997</v>
      </c>
      <c r="BA198" s="45">
        <f>IF(A198&lt;&gt;"",IF(_xlfn.XLOOKUP(A198,'1C'!A:A,'1C'!A:A,0,0)&gt;0,1,0),"")</f>
        <v>0</v>
      </c>
      <c r="BB198" s="150">
        <f>IF(C198&lt;&gt;"",IF(_xlfn.XLOOKUP(C198,'1C'!S:S,'1C'!S:S,0,0)&gt;0,0,1),"")</f>
        <v>0</v>
      </c>
      <c r="BC198" s="45">
        <f t="shared" si="7"/>
        <v>1</v>
      </c>
    </row>
    <row r="199" spans="1:55" ht="119.65" customHeight="1">
      <c r="A199" s="43" t="str">
        <f t="shared" si="0"/>
        <v>44747A-NYCnavy</v>
      </c>
      <c r="B199" s="45" t="str">
        <f>IF(C199&lt;&gt;"",_xlfn.XLOOKUP(A199,'1C'!A:A,'1C'!B:B,MID(_xlfn.XLOOKUP(C199,'1C'!S:S,'1C'!B:B,"new",0),1,7)&amp;IF(BC199=1,IF(L199&lt;&gt;"",_xlfn.XLOOKUP(L199,Colors!A:A,Colors!B:B,"new",0),"требуется цвет"),""),0))</f>
        <v>06-467-16</v>
      </c>
      <c r="C199" s="44" t="s">
        <v>2236</v>
      </c>
      <c r="D199" s="43" t="str">
        <f>VLOOKUP(C199,Names!A:B,2,0)</f>
        <v>NEY CUBANS NL Archive NL</v>
      </c>
      <c r="E199" s="43" t="str">
        <f>IF(F199&lt;&gt;"",IFERROR(VLOOKUP(F199,Категории!A:B,2,0),""),"Требуется категория")</f>
        <v>Бейсболки</v>
      </c>
      <c r="F199" s="44" t="s">
        <v>327</v>
      </c>
      <c r="G199" s="44" t="s">
        <v>884</v>
      </c>
      <c r="H199" s="44" t="s">
        <v>388</v>
      </c>
      <c r="J199" s="43" t="str">
        <f>'1C'!$AF$1</f>
        <v>American Needle</v>
      </c>
      <c r="K199" s="104" t="s">
        <v>818</v>
      </c>
      <c r="L199" s="59" t="str">
        <f>IF(K199&lt;&gt;"",IFERROR(VLOOKUP(A199,'1C'!A:T,8,0),IFERROR(VLOOKUP(K199,Colors!D:E,2,0),"")),"")</f>
        <v>темно-синий</v>
      </c>
      <c r="M199" s="59" t="s">
        <v>71</v>
      </c>
      <c r="N199" s="141" t="str">
        <f>Order!B197</f>
        <v>100% Хлопок</v>
      </c>
      <c r="P199" s="44" t="s">
        <v>43</v>
      </c>
      <c r="Q199" s="59" t="s">
        <v>15</v>
      </c>
      <c r="R199" s="58" t="s">
        <v>382</v>
      </c>
      <c r="S199" s="44">
        <v>76</v>
      </c>
      <c r="AQ199" s="59">
        <f t="shared" si="1"/>
        <v>76</v>
      </c>
      <c r="AR199" s="66" t="str">
        <f>Order!A197</f>
        <v>BD</v>
      </c>
      <c r="AS199" s="56" t="str">
        <f ca="1">IF(BA199&gt;0,_xlfn.XLOOKUP(A199,'1C'!$A:$A,'1C'!P:P,"",0,),IF(AR199&lt;&gt;"",VLOOKUP(AR199,INDIRECT(SUBSTITUTE($J199," ","")&amp;"Manufactures"),3,0),"Требуется код страны"))</f>
        <v>American Needle, Inc; 1275 Busch Parkway, Buffalo Grove, IL 60089, USA</v>
      </c>
      <c r="AT199" s="56" t="str">
        <f ca="1">IF(BA199&gt;0,_xlfn.XLOOKUP(A199,'1C'!$A:$A,'1C'!O:O,"",0),IF(AR199&lt;&gt;"",VLOOKUP(AR199,INDIRECT(SUBSTITUTE($J199," ","")&amp;"Manufactures"),2,0),"Требуется код страны"))</f>
        <v>Бангладеш</v>
      </c>
      <c r="AU199" s="76">
        <f t="shared" si="2"/>
        <v>0.1</v>
      </c>
      <c r="AV199" s="43">
        <f t="shared" si="3"/>
        <v>0.15000000000000002</v>
      </c>
      <c r="AW199" s="43">
        <f t="shared" si="4"/>
        <v>7.6000000000000005</v>
      </c>
      <c r="AX199" s="43">
        <f t="shared" si="5"/>
        <v>11.400000000000002</v>
      </c>
      <c r="AY199" s="155">
        <v>8.2874999999999996</v>
      </c>
      <c r="AZ199" s="156">
        <f t="shared" si="6"/>
        <v>629.85</v>
      </c>
      <c r="BA199" s="45">
        <f>IF(A199&lt;&gt;"",IF(_xlfn.XLOOKUP(A199,'1C'!A:A,'1C'!A:A,0,0)&gt;0,1,0),"")</f>
        <v>0</v>
      </c>
      <c r="BB199" s="150">
        <f>IF(C199&lt;&gt;"",IF(_xlfn.XLOOKUP(C199,'1C'!S:S,'1C'!S:S,0,0)&gt;0,0,1),"")</f>
        <v>0</v>
      </c>
      <c r="BC199" s="45">
        <f t="shared" si="7"/>
        <v>1</v>
      </c>
    </row>
    <row r="200" spans="1:55" ht="115.7" customHeight="1">
      <c r="A200" s="43" t="str">
        <f t="shared" si="0"/>
        <v>44747A-OAOnavy-dk red</v>
      </c>
      <c r="B200" s="45" t="str">
        <f>IF(C200&lt;&gt;"",_xlfn.XLOOKUP(A200,'1C'!A:A,'1C'!B:B,MID(_xlfn.XLOOKUP(C200,'1C'!S:S,'1C'!B:B,"new",0),1,7)&amp;IF(BC200=1,IF(L200&lt;&gt;"",_xlfn.XLOOKUP(L200,Colors!A:A,Colors!B:B,"new",0),"требуется цвет"),""),0))</f>
        <v>06-468-21</v>
      </c>
      <c r="C200" s="44" t="s">
        <v>2237</v>
      </c>
      <c r="D200" s="43" t="str">
        <f>VLOOKUP(C200,Names!A:B,2,0)</f>
        <v>Oakland Oaks Archive MILB</v>
      </c>
      <c r="E200" s="43" t="str">
        <f>IF(F200&lt;&gt;"",IFERROR(VLOOKUP(F200,Категории!A:B,2,0),""),"Требуется категория")</f>
        <v>Бейсболки</v>
      </c>
      <c r="F200" s="44" t="s">
        <v>327</v>
      </c>
      <c r="G200" s="44" t="s">
        <v>884</v>
      </c>
      <c r="H200" s="44" t="s">
        <v>388</v>
      </c>
      <c r="J200" s="43" t="str">
        <f>'1C'!$AF$1</f>
        <v>American Needle</v>
      </c>
      <c r="K200" s="104" t="s">
        <v>2297</v>
      </c>
      <c r="L200" s="58" t="s">
        <v>252</v>
      </c>
      <c r="M200" s="58" t="s">
        <v>71</v>
      </c>
      <c r="N200" s="141" t="str">
        <f>Order!B198</f>
        <v>100% Хлопок</v>
      </c>
      <c r="P200" s="44" t="s">
        <v>43</v>
      </c>
      <c r="Q200" s="59" t="s">
        <v>15</v>
      </c>
      <c r="R200" s="58" t="s">
        <v>382</v>
      </c>
      <c r="S200" s="44">
        <v>22</v>
      </c>
      <c r="AQ200" s="59">
        <f t="shared" si="1"/>
        <v>22</v>
      </c>
      <c r="AR200" s="66" t="str">
        <f>Order!A198</f>
        <v>BD</v>
      </c>
      <c r="AS200" s="56" t="str">
        <f ca="1">IF(BA200&gt;0,_xlfn.XLOOKUP(A200,'1C'!$A:$A,'1C'!P:P,"",0,),IF(AR200&lt;&gt;"",VLOOKUP(AR200,INDIRECT(SUBSTITUTE($J200," ","")&amp;"Manufactures"),3,0),"Требуется код страны"))</f>
        <v>American Needle, Inc; 1275 Busch Parkway, Buffalo Grove, IL 60089, USA</v>
      </c>
      <c r="AT200" s="56" t="str">
        <f ca="1">IF(BA200&gt;0,_xlfn.XLOOKUP(A200,'1C'!$A:$A,'1C'!O:O,"",0),IF(AR200&lt;&gt;"",VLOOKUP(AR200,INDIRECT(SUBSTITUTE($J200," ","")&amp;"Manufactures"),2,0),"Требуется код страны"))</f>
        <v>Бангладеш</v>
      </c>
      <c r="AU200" s="76">
        <f t="shared" si="2"/>
        <v>0.1</v>
      </c>
      <c r="AV200" s="43">
        <f t="shared" si="3"/>
        <v>0.15000000000000002</v>
      </c>
      <c r="AW200" s="43">
        <f t="shared" si="4"/>
        <v>2.2000000000000002</v>
      </c>
      <c r="AX200" s="43">
        <f t="shared" si="5"/>
        <v>3.3000000000000007</v>
      </c>
      <c r="AY200" s="155">
        <v>8.2877272727272739</v>
      </c>
      <c r="AZ200" s="156">
        <f t="shared" si="6"/>
        <v>182.33000000000004</v>
      </c>
      <c r="BA200" s="45">
        <f>IF(A200&lt;&gt;"",IF(_xlfn.XLOOKUP(A200,'1C'!A:A,'1C'!A:A,0,0)&gt;0,1,0),"")</f>
        <v>0</v>
      </c>
      <c r="BB200" s="150">
        <f>IF(C200&lt;&gt;"",IF(_xlfn.XLOOKUP(C200,'1C'!S:S,'1C'!S:S,0,0)&gt;0,0,1),"")</f>
        <v>0</v>
      </c>
      <c r="BC200" s="45">
        <f t="shared" si="7"/>
        <v>1</v>
      </c>
    </row>
    <row r="201" spans="1:55" ht="115.7" customHeight="1">
      <c r="A201" s="43" t="str">
        <f t="shared" si="0"/>
        <v>44747A-POBnavy</v>
      </c>
      <c r="B201" s="45" t="str">
        <f>IF(C201&lt;&gt;"",_xlfn.XLOOKUP(A201,'1C'!A:A,'1C'!B:B,MID(_xlfn.XLOOKUP(C201,'1C'!S:S,'1C'!B:B,"new",0),1,7)&amp;IF(BC201=1,IF(L201&lt;&gt;"",_xlfn.XLOOKUP(L201,Colors!A:A,Colors!B:B,"new",0),"требуется цвет"),""),0))</f>
        <v>06-097-16</v>
      </c>
      <c r="C201" s="44" t="s">
        <v>2238</v>
      </c>
      <c r="D201" s="43" t="str">
        <f>IF(A201&lt;&gt;"",_xlfn.XLOOKUP(C201,'1C'!S:S,'1C'!T:T,"",0),"")</f>
        <v>Portland Beavers Archive MILB</v>
      </c>
      <c r="E201" s="43" t="str">
        <f>IF(F201&lt;&gt;"",IFERROR(VLOOKUP(F201,Категории!A:B,2,0),""),"Требуется категория")</f>
        <v>Бейсболки</v>
      </c>
      <c r="F201" s="43" t="str">
        <f>IF(A201&lt;&gt;"",IF(BA201&gt;0,_xlfn.XLOOKUP(A201,'1C'!A:A,'1C'!J:J,"",0),_xlfn.XLOOKUP(C201,'1C'!S:S,'1C'!J:J,"",0)),"")</f>
        <v>Бейсболка</v>
      </c>
      <c r="G201" s="43" t="str">
        <f>IF(C201&lt;&gt;"",IF(BA201&gt;0,_xlfn.XLOOKUP(A201,'1C'!A:A,'1C'!L:L,"",0),_xlfn.XLOOKUP(C201,'1C'!S:S,'1C'!L:L,"",0)),"")</f>
        <v>AMERICAN NEEDLE-Sport</v>
      </c>
      <c r="H201" s="43" t="str">
        <f>IF(A201&lt;&gt;"",_xlfn.XLOOKUP(A201,'1C'!A:A,'1C'!M:M,_xlfn.XLOOKUP(C201,'1C'!S:S,'1C'!M:M,"",0),0))</f>
        <v>всесезон</v>
      </c>
      <c r="J201" s="43" t="str">
        <f>'1C'!$AF$1</f>
        <v>American Needle</v>
      </c>
      <c r="K201" s="104" t="s">
        <v>818</v>
      </c>
      <c r="L201" s="59" t="str">
        <f>IF(K201&lt;&gt;"",IFERROR(VLOOKUP(A201,'1C'!A:T,8,0),IFERROR(VLOOKUP(K201,Colors!D:E,2,0),"")),"")</f>
        <v>темно-синий</v>
      </c>
      <c r="M201" s="59" t="str">
        <f>IF(K201&lt;&gt;"",IFERROR(VLOOKUP(A201,'1C'!A:T,18,0),IFERROR(VLOOKUP(K201,Colors!D:E,2,0),"")),"")</f>
        <v>синий</v>
      </c>
      <c r="N201" s="147" t="str">
        <f>IF(A201&lt;&gt;"",_xlfn.XLOOKUP(A201,'1C'!A:A,'1C'!I:I,_xlfn.XLOOKUP(C201,'1C'!S:S,'1C'!I:I,"",0),0),"")</f>
        <v>100% хлопок</v>
      </c>
      <c r="P201" s="43" t="str">
        <f>IF(A201&lt;&gt;"",_xlfn.XLOOKUP(A201,'1C'!A:A,'1C'!N:N,_xlfn.XLOOKUP(C201,'1C'!S:S,'1C'!N:N,"",0),0),"")</f>
        <v>хлопковые</v>
      </c>
      <c r="Q201" s="59" t="s">
        <v>15</v>
      </c>
      <c r="R201" s="43" t="str">
        <f>IF(A201&lt;&gt;"",_xlfn.XLOOKUP(A201,'1C'!A:A,'1C'!K:K,_xlfn.XLOOKUP(C201,'1C'!S:S,'1C'!K:K,"",0),0),"")</f>
        <v>Унисекс</v>
      </c>
      <c r="S201" s="44">
        <v>46</v>
      </c>
      <c r="AQ201" s="59">
        <f t="shared" si="1"/>
        <v>46</v>
      </c>
      <c r="AR201" s="43" t="str">
        <f>IF(A201&lt;&gt;"",_xlfn.XLOOKUP(_xlfn.XLOOKUP(A201,'1C'!A:A,'1C'!O:O,_xlfn.XLOOKUP(C201,'1C'!S:S,'1C'!O:O,"",0),0),Settings!N:N,Settings!O:O,"",0),"")</f>
        <v>BD</v>
      </c>
      <c r="AS201" s="56" t="str">
        <f ca="1">IF(BA201&gt;0,_xlfn.XLOOKUP(A201,'1C'!$A:$A,'1C'!P:P,"",0,),IF(AR201&lt;&gt;"",VLOOKUP(AR201,INDIRECT(SUBSTITUTE($J201," ","")&amp;"Manufactures"),3,0),"Требуется код страны"))</f>
        <v>American Needle, Inc; 1275 Busch Parkway, Buffalo Grove, IL 60089, USA</v>
      </c>
      <c r="AT201" s="56" t="str">
        <f ca="1">IF(BA201&gt;0,_xlfn.XLOOKUP(A201,'1C'!$A:$A,'1C'!O:O,"",0),IF(AR201&lt;&gt;"",VLOOKUP(AR201,INDIRECT(SUBSTITUTE($J201," ","")&amp;"Manufactures"),2,0),"Требуется код страны"))</f>
        <v>Бангладеш</v>
      </c>
      <c r="AU201" s="76">
        <f t="shared" si="2"/>
        <v>0.1</v>
      </c>
      <c r="AV201" s="43">
        <f t="shared" si="3"/>
        <v>0.15000000000000002</v>
      </c>
      <c r="AW201" s="43">
        <f t="shared" si="4"/>
        <v>4.6000000000000005</v>
      </c>
      <c r="AX201" s="43">
        <f t="shared" si="5"/>
        <v>6.9000000000000012</v>
      </c>
      <c r="AY201" s="155">
        <v>8.2876086956521746</v>
      </c>
      <c r="AZ201" s="156">
        <f t="shared" si="6"/>
        <v>381.23</v>
      </c>
      <c r="BA201" s="45">
        <f>IF(A201&lt;&gt;"",IF(_xlfn.XLOOKUP(A201,'1C'!A:A,'1C'!A:A,0,0)&gt;0,1,0),"")</f>
        <v>1</v>
      </c>
      <c r="BB201" s="150">
        <f>IF(C201&lt;&gt;"",IF(_xlfn.XLOOKUP(C201,'1C'!S:S,'1C'!S:S,0,0)&gt;0,0,1),"")</f>
        <v>0</v>
      </c>
      <c r="BC201" s="45">
        <f t="shared" si="7"/>
        <v>0</v>
      </c>
    </row>
    <row r="202" spans="1:55" ht="115.7" customHeight="1">
      <c r="A202" s="43" t="str">
        <f t="shared" si="0"/>
        <v>44747A-SERnavy</v>
      </c>
      <c r="B202" s="45" t="str">
        <f>IF(C202&lt;&gt;"",_xlfn.XLOOKUP(A202,'1C'!A:A,'1C'!B:B,MID(_xlfn.XLOOKUP(C202,'1C'!S:S,'1C'!B:B,"new",0),1,7)&amp;IF(BC202=1,IF(L202&lt;&gt;"",_xlfn.XLOOKUP(L202,Colors!A:A,Colors!B:B,"new",0),"требуется цвет"),""),0))</f>
        <v>06-315-16</v>
      </c>
      <c r="C202" s="44" t="s">
        <v>2239</v>
      </c>
      <c r="D202" s="43" t="str">
        <f>IF(A202&lt;&gt;"",_xlfn.XLOOKUP(C202,'1C'!S:S,'1C'!T:T,"",0),"")</f>
        <v>Seattle Rainiers Archive MILB</v>
      </c>
      <c r="E202" s="43" t="str">
        <f>IF(F202&lt;&gt;"",IFERROR(VLOOKUP(F202,Категории!A:B,2,0),""),"Требуется категория")</f>
        <v>Бейсболки</v>
      </c>
      <c r="F202" s="43" t="str">
        <f>IF(A202&lt;&gt;"",IF(BA202&gt;0,_xlfn.XLOOKUP(A202,'1C'!A:A,'1C'!J:J,"",0),_xlfn.XLOOKUP(C202,'1C'!S:S,'1C'!J:J,"",0)),"")</f>
        <v>Бейсболка</v>
      </c>
      <c r="G202" s="43" t="str">
        <f>IF(C202&lt;&gt;"",IF(BA202&gt;0,_xlfn.XLOOKUP(A202,'1C'!A:A,'1C'!L:L,"",0),_xlfn.XLOOKUP(C202,'1C'!S:S,'1C'!L:L,"",0)),"")</f>
        <v>Sport</v>
      </c>
      <c r="H202" s="43" t="str">
        <f>IF(A202&lt;&gt;"",_xlfn.XLOOKUP(A202,'1C'!A:A,'1C'!M:M,_xlfn.XLOOKUP(C202,'1C'!S:S,'1C'!M:M,"",0),0))</f>
        <v>всесезон</v>
      </c>
      <c r="J202" s="43" t="str">
        <f>'1C'!$AF$1</f>
        <v>American Needle</v>
      </c>
      <c r="K202" s="104" t="s">
        <v>818</v>
      </c>
      <c r="L202" s="59" t="str">
        <f>IF(K202&lt;&gt;"",IFERROR(VLOOKUP(A202,'1C'!A:T,8,0),IFERROR(VLOOKUP(K202,Colors!D:E,2,0),"")),"")</f>
        <v>темно-синий</v>
      </c>
      <c r="M202" s="59" t="str">
        <f>IF(K202&lt;&gt;"",IFERROR(VLOOKUP(A202,'1C'!A:T,18,0),IFERROR(VLOOKUP(K202,Colors!D:E,2,0),"")),"")</f>
        <v>синий</v>
      </c>
      <c r="N202" s="147" t="str">
        <f>IF(A202&lt;&gt;"",_xlfn.XLOOKUP(A202,'1C'!A:A,'1C'!I:I,_xlfn.XLOOKUP(C202,'1C'!S:S,'1C'!I:I,"",0),0),"")</f>
        <v>100% хлопок</v>
      </c>
      <c r="P202" s="43" t="str">
        <f>IF(A202&lt;&gt;"",_xlfn.XLOOKUP(A202,'1C'!A:A,'1C'!N:N,_xlfn.XLOOKUP(C202,'1C'!S:S,'1C'!N:N,"",0),0),"")</f>
        <v>хлопковые</v>
      </c>
      <c r="Q202" s="59" t="s">
        <v>15</v>
      </c>
      <c r="R202" s="43" t="str">
        <f>IF(A202&lt;&gt;"",_xlfn.XLOOKUP(A202,'1C'!A:A,'1C'!K:K,_xlfn.XLOOKUP(C202,'1C'!S:S,'1C'!K:K,"",0),0),"")</f>
        <v>Унисекс</v>
      </c>
      <c r="S202" s="44">
        <v>12</v>
      </c>
      <c r="AQ202" s="59">
        <f t="shared" si="1"/>
        <v>12</v>
      </c>
      <c r="AR202" s="43" t="str">
        <f>IF(A202&lt;&gt;"",_xlfn.XLOOKUP(_xlfn.XLOOKUP(A202,'1C'!A:A,'1C'!O:O,_xlfn.XLOOKUP(C202,'1C'!S:S,'1C'!O:O,"",0),0),Settings!N:N,Settings!O:O,"",0),"")</f>
        <v>BD</v>
      </c>
      <c r="AS202" s="56" t="str">
        <f ca="1">IF(BA202&gt;0,_xlfn.XLOOKUP(A202,'1C'!$A:$A,'1C'!P:P,"",0,),IF(AR202&lt;&gt;"",VLOOKUP(AR202,INDIRECT(SUBSTITUTE($J202," ","")&amp;"Manufactures"),3,0),"Требуется код страны"))</f>
        <v>American Needle, Inc; 1275 Busch Parkway, Buffalo Grove, IL 60089, USA</v>
      </c>
      <c r="AT202" s="56" t="str">
        <f ca="1">IF(BA202&gt;0,_xlfn.XLOOKUP(A202,'1C'!$A:$A,'1C'!O:O,"",0),IF(AR202&lt;&gt;"",VLOOKUP(AR202,INDIRECT(SUBSTITUTE($J202," ","")&amp;"Manufactures"),2,0),"Требуется код страны"))</f>
        <v>Бангладеш</v>
      </c>
      <c r="AU202" s="76">
        <f t="shared" si="2"/>
        <v>0.1</v>
      </c>
      <c r="AV202" s="43">
        <f t="shared" si="3"/>
        <v>0.15000000000000002</v>
      </c>
      <c r="AW202" s="43">
        <f t="shared" si="4"/>
        <v>1.2000000000000002</v>
      </c>
      <c r="AX202" s="43">
        <f t="shared" si="5"/>
        <v>1.8000000000000003</v>
      </c>
      <c r="AY202" s="155">
        <v>8.2874999999999996</v>
      </c>
      <c r="AZ202" s="156">
        <f t="shared" si="6"/>
        <v>99.449999999999989</v>
      </c>
      <c r="BA202" s="45">
        <f>IF(A202&lt;&gt;"",IF(_xlfn.XLOOKUP(A202,'1C'!A:A,'1C'!A:A,0,0)&gt;0,1,0),"")</f>
        <v>1</v>
      </c>
      <c r="BB202" s="150">
        <f>IF(C202&lt;&gt;"",IF(_xlfn.XLOOKUP(C202,'1C'!S:S,'1C'!S:S,0,0)&gt;0,0,1),"")</f>
        <v>0</v>
      </c>
      <c r="BC202" s="45">
        <f t="shared" si="7"/>
        <v>0</v>
      </c>
    </row>
    <row r="203" spans="1:55" ht="115.7" customHeight="1">
      <c r="A203" s="43" t="str">
        <f t="shared" si="0"/>
        <v>44747A-SLSroyal</v>
      </c>
      <c r="B203" s="45" t="str">
        <f>IF(C203&lt;&gt;"",_xlfn.XLOOKUP(A203,'1C'!A:A,'1C'!B:B,MID(_xlfn.XLOOKUP(C203,'1C'!S:S,'1C'!B:B,"new",0),1,7)&amp;IF(BC203=1,IF(L203&lt;&gt;"",_xlfn.XLOOKUP(L203,Colors!A:A,Colors!B:B,"new",0),"требуется цвет"),""),0))</f>
        <v>06-316-06</v>
      </c>
      <c r="C203" s="44" t="s">
        <v>2240</v>
      </c>
      <c r="D203" s="43" t="str">
        <f>IF(A203&lt;&gt;"",_xlfn.XLOOKUP(C203,'1C'!S:S,'1C'!T:T,"",0),"")</f>
        <v>Saint Louis Stars Archive NL</v>
      </c>
      <c r="E203" s="43" t="str">
        <f>IF(F203&lt;&gt;"",IFERROR(VLOOKUP(F203,Категории!A:B,2,0),""),"Требуется категория")</f>
        <v>Бейсболки</v>
      </c>
      <c r="F203" s="43" t="str">
        <f>IF(A203&lt;&gt;"",IF(BA203&gt;0,_xlfn.XLOOKUP(A203,'1C'!A:A,'1C'!J:J,"",0),_xlfn.XLOOKUP(C203,'1C'!S:S,'1C'!J:J,"",0)),"")</f>
        <v>Бейсболка</v>
      </c>
      <c r="G203" s="43" t="str">
        <f>IF(C203&lt;&gt;"",IF(BA203&gt;0,_xlfn.XLOOKUP(A203,'1C'!A:A,'1C'!L:L,"",0),_xlfn.XLOOKUP(C203,'1C'!S:S,'1C'!L:L,"",0)),"")</f>
        <v>Sport</v>
      </c>
      <c r="H203" s="43" t="str">
        <f>IF(A203&lt;&gt;"",_xlfn.XLOOKUP(A203,'1C'!A:A,'1C'!M:M,_xlfn.XLOOKUP(C203,'1C'!S:S,'1C'!M:M,"",0),0))</f>
        <v>всесезон</v>
      </c>
      <c r="J203" s="43" t="str">
        <f>'1C'!$AF$1</f>
        <v>American Needle</v>
      </c>
      <c r="K203" s="104" t="s">
        <v>1576</v>
      </c>
      <c r="L203" s="59" t="str">
        <f>IF(K203&lt;&gt;"",IFERROR(VLOOKUP(A203,'1C'!A:T,8,0),IFERROR(VLOOKUP(K203,Colors!D:E,2,0),"")),"")</f>
        <v>синий</v>
      </c>
      <c r="M203" s="59" t="str">
        <f>IF(K203&lt;&gt;"",IFERROR(VLOOKUP(A203,'1C'!A:T,18,0),IFERROR(VLOOKUP(K203,Colors!D:E,2,0),"")),"")</f>
        <v>синий</v>
      </c>
      <c r="N203" s="147" t="str">
        <f>IF(A203&lt;&gt;"",_xlfn.XLOOKUP(A203,'1C'!A:A,'1C'!I:I,_xlfn.XLOOKUP(C203,'1C'!S:S,'1C'!I:I,"",0),0),"")</f>
        <v>100% хлопок</v>
      </c>
      <c r="P203" s="43" t="str">
        <f>IF(A203&lt;&gt;"",_xlfn.XLOOKUP(A203,'1C'!A:A,'1C'!N:N,_xlfn.XLOOKUP(C203,'1C'!S:S,'1C'!N:N,"",0),0),"")</f>
        <v>хлопковые</v>
      </c>
      <c r="Q203" s="59" t="s">
        <v>15</v>
      </c>
      <c r="R203" s="43" t="str">
        <f>IF(A203&lt;&gt;"",_xlfn.XLOOKUP(A203,'1C'!A:A,'1C'!K:K,_xlfn.XLOOKUP(C203,'1C'!S:S,'1C'!K:K,"",0),0),"")</f>
        <v>Унисекс</v>
      </c>
      <c r="S203" s="44">
        <v>12</v>
      </c>
      <c r="AQ203" s="59">
        <f t="shared" si="1"/>
        <v>12</v>
      </c>
      <c r="AR203" s="43" t="str">
        <f>IF(A203&lt;&gt;"",_xlfn.XLOOKUP(_xlfn.XLOOKUP(A203,'1C'!A:A,'1C'!O:O,_xlfn.XLOOKUP(C203,'1C'!S:S,'1C'!O:O,"",0),0),Settings!N:N,Settings!O:O,"",0),"")</f>
        <v>BD</v>
      </c>
      <c r="AS203" s="56" t="str">
        <f ca="1">IF(BA203&gt;0,_xlfn.XLOOKUP(A203,'1C'!$A:$A,'1C'!P:P,"",0,),IF(AR203&lt;&gt;"",VLOOKUP(AR203,INDIRECT(SUBSTITUTE($J203," ","")&amp;"Manufactures"),3,0),"Требуется код страны"))</f>
        <v>American Needle, Inc; 1275 Busch Parkway, Buffalo Grove, IL 60089, USA</v>
      </c>
      <c r="AT203" s="56" t="str">
        <f ca="1">IF(BA203&gt;0,_xlfn.XLOOKUP(A203,'1C'!$A:$A,'1C'!O:O,"",0),IF(AR203&lt;&gt;"",VLOOKUP(AR203,INDIRECT(SUBSTITUTE($J203," ","")&amp;"Manufactures"),2,0),"Требуется код страны"))</f>
        <v>Бангладеш</v>
      </c>
      <c r="AU203" s="76">
        <f t="shared" si="2"/>
        <v>0.1</v>
      </c>
      <c r="AV203" s="43">
        <f t="shared" si="3"/>
        <v>0.15000000000000002</v>
      </c>
      <c r="AW203" s="43">
        <f t="shared" si="4"/>
        <v>1.2000000000000002</v>
      </c>
      <c r="AX203" s="43">
        <f t="shared" si="5"/>
        <v>1.8000000000000003</v>
      </c>
      <c r="AY203" s="155">
        <v>8.2874999999999996</v>
      </c>
      <c r="AZ203" s="156">
        <f t="shared" si="6"/>
        <v>99.449999999999989</v>
      </c>
      <c r="BA203" s="45">
        <f>IF(A203&lt;&gt;"",IF(_xlfn.XLOOKUP(A203,'1C'!A:A,'1C'!A:A,0,0)&gt;0,1,0),"")</f>
        <v>1</v>
      </c>
      <c r="BB203" s="150">
        <f>IF(C203&lt;&gt;"",IF(_xlfn.XLOOKUP(C203,'1C'!S:S,'1C'!S:S,0,0)&gt;0,0,1),"")</f>
        <v>0</v>
      </c>
      <c r="BC203" s="45">
        <f t="shared" si="7"/>
        <v>0</v>
      </c>
    </row>
    <row r="204" spans="1:55" ht="127.35" customHeight="1">
      <c r="A204" s="43" t="str">
        <f t="shared" si="0"/>
        <v>44747B-HOGNavy</v>
      </c>
      <c r="B204" s="45" t="str">
        <f>IF(C204&lt;&gt;"",_xlfn.XLOOKUP(A204,'1C'!A:A,'1C'!B:B,MID(_xlfn.XLOOKUP(C204,'1C'!S:S,'1C'!B:B,"new",0),1,7)&amp;IF(BC204=1,IF(L204&lt;&gt;"",_xlfn.XLOOKUP(L204,Colors!A:A,Colors!B:B,"new",0),"требуется цвет"),""),0))</f>
        <v>06-469-16</v>
      </c>
      <c r="C204" s="44" t="s">
        <v>2241</v>
      </c>
      <c r="D204" s="43" t="str">
        <f>VLOOKUP(C204,Names!A:B,2,0)</f>
        <v>HOMESTEAD GRAYS Archive NL</v>
      </c>
      <c r="E204" s="43" t="str">
        <f>IF(F204&lt;&gt;"",IFERROR(VLOOKUP(F204,Категории!A:B,2,0),""),"Требуется категория")</f>
        <v>Бейсболки</v>
      </c>
      <c r="F204" s="44" t="s">
        <v>327</v>
      </c>
      <c r="G204" s="44" t="s">
        <v>884</v>
      </c>
      <c r="H204" s="44" t="s">
        <v>388</v>
      </c>
      <c r="J204" s="43" t="str">
        <f>'1C'!$AF$1</f>
        <v>American Needle</v>
      </c>
      <c r="K204" s="104" t="s">
        <v>54</v>
      </c>
      <c r="L204" s="59" t="str">
        <f>IF(K204&lt;&gt;"",IFERROR(VLOOKUP(A204,'1C'!A:T,8,0),IFERROR(VLOOKUP(K204,Colors!D:E,2,0),"")),"")</f>
        <v>темно-синий</v>
      </c>
      <c r="M204" s="59" t="str">
        <f>IF(K204&lt;&gt;"",IFERROR(VLOOKUP(A204,'1C'!A:T,18,0),IFERROR(VLOOKUP(K204,Colors!D:E,2,0),"")),"")</f>
        <v>темно-синий</v>
      </c>
      <c r="N204" s="141" t="str">
        <f>Order!B202</f>
        <v>100% Хлопок</v>
      </c>
      <c r="P204" s="44" t="s">
        <v>43</v>
      </c>
      <c r="Q204" s="59" t="s">
        <v>15</v>
      </c>
      <c r="R204" s="58" t="s">
        <v>382</v>
      </c>
      <c r="S204" s="44">
        <v>12</v>
      </c>
      <c r="AQ204" s="59">
        <f t="shared" si="1"/>
        <v>12</v>
      </c>
      <c r="AR204" s="66" t="str">
        <f>Order!A202</f>
        <v>BD</v>
      </c>
      <c r="AS204" s="56" t="str">
        <f ca="1">IF(BA204&gt;0,_xlfn.XLOOKUP(A204,'1C'!$A:$A,'1C'!P:P,"",0,),IF(AR204&lt;&gt;"",VLOOKUP(AR204,INDIRECT(SUBSTITUTE($J204," ","")&amp;"Manufactures"),3,0),"Требуется код страны"))</f>
        <v>American Needle, Inc; 1275 Busch Parkway, Buffalo Grove, IL 60089, USA</v>
      </c>
      <c r="AT204" s="56" t="str">
        <f ca="1">IF(BA204&gt;0,_xlfn.XLOOKUP(A204,'1C'!$A:$A,'1C'!O:O,"",0),IF(AR204&lt;&gt;"",VLOOKUP(AR204,INDIRECT(SUBSTITUTE($J204," ","")&amp;"Manufactures"),2,0),"Требуется код страны"))</f>
        <v>Бангладеш</v>
      </c>
      <c r="AU204" s="76">
        <f t="shared" si="2"/>
        <v>0.1</v>
      </c>
      <c r="AV204" s="43">
        <f t="shared" si="3"/>
        <v>0.15000000000000002</v>
      </c>
      <c r="AW204" s="43">
        <f t="shared" si="4"/>
        <v>1.2000000000000002</v>
      </c>
      <c r="AX204" s="43">
        <f t="shared" si="5"/>
        <v>1.8000000000000003</v>
      </c>
      <c r="AY204" s="155">
        <v>8.2874999999999996</v>
      </c>
      <c r="AZ204" s="156">
        <f t="shared" si="6"/>
        <v>99.449999999999989</v>
      </c>
      <c r="BA204" s="45">
        <f>IF(A204&lt;&gt;"",IF(_xlfn.XLOOKUP(A204,'1C'!A:A,'1C'!A:A,0,0)&gt;0,1,0),"")</f>
        <v>0</v>
      </c>
      <c r="BB204" s="150">
        <f>IF(C204&lt;&gt;"",IF(_xlfn.XLOOKUP(C204,'1C'!S:S,'1C'!S:S,0,0)&gt;0,0,1),"")</f>
        <v>0</v>
      </c>
      <c r="BC204" s="45">
        <f t="shared" si="7"/>
        <v>1</v>
      </c>
    </row>
    <row r="205" spans="1:55" ht="127.35" customHeight="1">
      <c r="A205" s="43" t="str">
        <f t="shared" si="0"/>
        <v>44747B-NBYNavy</v>
      </c>
      <c r="B205" s="45" t="str">
        <f>IF(C205&lt;&gt;"",_xlfn.XLOOKUP(A205,'1C'!A:A,'1C'!B:B,MID(_xlfn.XLOOKUP(C205,'1C'!S:S,'1C'!B:B,"new",0),1,7)&amp;IF(BC205=1,IF(L205&lt;&gt;"",_xlfn.XLOOKUP(L205,Colors!A:A,Colors!B:B,"new",0),"требуется цвет"),""),0))</f>
        <v>06-470-16</v>
      </c>
      <c r="C205" s="44" t="s">
        <v>2242</v>
      </c>
      <c r="D205" s="43" t="str">
        <f>VLOOKUP(C205,Names!A:B,2,0)</f>
        <v>NY BLACK YANKEES Archive NL</v>
      </c>
      <c r="E205" s="43" t="str">
        <f>IF(F205&lt;&gt;"",IFERROR(VLOOKUP(F205,Категории!A:B,2,0),""),"Требуется категория")</f>
        <v>Бейсболки</v>
      </c>
      <c r="F205" s="44" t="s">
        <v>327</v>
      </c>
      <c r="G205" s="44" t="s">
        <v>884</v>
      </c>
      <c r="H205" s="44" t="s">
        <v>388</v>
      </c>
      <c r="J205" s="43" t="str">
        <f>'1C'!$AF$1</f>
        <v>American Needle</v>
      </c>
      <c r="K205" s="104" t="s">
        <v>54</v>
      </c>
      <c r="L205" s="59" t="str">
        <f>IF(K205&lt;&gt;"",IFERROR(VLOOKUP(A205,'1C'!A:T,8,0),IFERROR(VLOOKUP(K205,Colors!D:E,2,0),"")),"")</f>
        <v>темно-синий</v>
      </c>
      <c r="M205" s="59" t="str">
        <f>IF(K205&lt;&gt;"",IFERROR(VLOOKUP(A205,'1C'!A:T,18,0),IFERROR(VLOOKUP(K205,Colors!D:E,2,0),"")),"")</f>
        <v>темно-синий</v>
      </c>
      <c r="N205" s="141" t="str">
        <f>Order!B203</f>
        <v>100% Хлопок</v>
      </c>
      <c r="P205" s="44" t="s">
        <v>43</v>
      </c>
      <c r="Q205" s="59" t="s">
        <v>15</v>
      </c>
      <c r="R205" s="58" t="s">
        <v>382</v>
      </c>
      <c r="S205" s="44">
        <v>12</v>
      </c>
      <c r="AQ205" s="59">
        <f t="shared" si="1"/>
        <v>12</v>
      </c>
      <c r="AR205" s="66" t="str">
        <f>Order!A203</f>
        <v>BD</v>
      </c>
      <c r="AS205" s="56" t="str">
        <f ca="1">IF(BA205&gt;0,_xlfn.XLOOKUP(A205,'1C'!$A:$A,'1C'!P:P,"",0,),IF(AR205&lt;&gt;"",VLOOKUP(AR205,INDIRECT(SUBSTITUTE($J205," ","")&amp;"Manufactures"),3,0),"Требуется код страны"))</f>
        <v>American Needle, Inc; 1275 Busch Parkway, Buffalo Grove, IL 60089, USA</v>
      </c>
      <c r="AT205" s="56" t="str">
        <f ca="1">IF(BA205&gt;0,_xlfn.XLOOKUP(A205,'1C'!$A:$A,'1C'!O:O,"",0),IF(AR205&lt;&gt;"",VLOOKUP(AR205,INDIRECT(SUBSTITUTE($J205," ","")&amp;"Manufactures"),2,0),"Требуется код страны"))</f>
        <v>Бангладеш</v>
      </c>
      <c r="AU205" s="76">
        <f t="shared" si="2"/>
        <v>0.1</v>
      </c>
      <c r="AV205" s="43">
        <f t="shared" si="3"/>
        <v>0.15000000000000002</v>
      </c>
      <c r="AW205" s="43">
        <f t="shared" si="4"/>
        <v>1.2000000000000002</v>
      </c>
      <c r="AX205" s="43">
        <f t="shared" si="5"/>
        <v>1.8000000000000003</v>
      </c>
      <c r="AY205" s="155">
        <v>8.2874999999999996</v>
      </c>
      <c r="AZ205" s="156">
        <f t="shared" si="6"/>
        <v>99.449999999999989</v>
      </c>
      <c r="BA205" s="45">
        <f>IF(A205&lt;&gt;"",IF(_xlfn.XLOOKUP(A205,'1C'!A:A,'1C'!A:A,0,0)&gt;0,1,0),"")</f>
        <v>0</v>
      </c>
      <c r="BB205" s="150">
        <f>IF(C205&lt;&gt;"",IF(_xlfn.XLOOKUP(C205,'1C'!S:S,'1C'!S:S,0,0)&gt;0,0,1),"")</f>
        <v>0</v>
      </c>
      <c r="BC205" s="45">
        <f t="shared" si="7"/>
        <v>1</v>
      </c>
    </row>
    <row r="206" spans="1:55" ht="127.35" customHeight="1">
      <c r="A206" s="43" t="str">
        <f t="shared" si="0"/>
        <v>44747B-POBgynv</v>
      </c>
      <c r="B206" s="45" t="str">
        <f>IF(C206&lt;&gt;"",_xlfn.XLOOKUP(A206,'1C'!A:A,'1C'!B:B,MID(_xlfn.XLOOKUP(C206,'1C'!S:S,'1C'!B:B,"new",0),1,7)&amp;IF(BC206=1,IF(L206&lt;&gt;"",_xlfn.XLOOKUP(L206,Colors!A:A,Colors!B:B,"new",0),"требуется цвет"),""),0))</f>
        <v>06-098-26</v>
      </c>
      <c r="C206" s="44" t="s">
        <v>2243</v>
      </c>
      <c r="D206" s="43" t="str">
        <f>IF(A206&lt;&gt;"",_xlfn.XLOOKUP(C206,'1C'!S:S,'1C'!T:T,"",0),"")</f>
        <v>Portland Beavers Archive MILB</v>
      </c>
      <c r="E206" s="43" t="str">
        <f>IF(F206&lt;&gt;"",IFERROR(VLOOKUP(F206,Категории!A:B,2,0),""),"Требуется категория")</f>
        <v>Бейсболки</v>
      </c>
      <c r="F206" s="43" t="str">
        <f>IF(A206&lt;&gt;"",IF(BA206&gt;0,_xlfn.XLOOKUP(A206,'1C'!A:A,'1C'!J:J,"",0),_xlfn.XLOOKUP(C206,'1C'!S:S,'1C'!J:J,"",0)),"")</f>
        <v>Бейсболка</v>
      </c>
      <c r="G206" s="43" t="str">
        <f>IF(C206&lt;&gt;"",IF(BA206&gt;0,_xlfn.XLOOKUP(A206,'1C'!A:A,'1C'!L:L,"",0),_xlfn.XLOOKUP(C206,'1C'!S:S,'1C'!L:L,"",0)),"")</f>
        <v>AMERICAN NEEDLE-Sport</v>
      </c>
      <c r="H206" s="43" t="str">
        <f>IF(A206&lt;&gt;"",_xlfn.XLOOKUP(A206,'1C'!A:A,'1C'!M:M,_xlfn.XLOOKUP(C206,'1C'!S:S,'1C'!M:M,"",0),0))</f>
        <v>всесезон</v>
      </c>
      <c r="J206" s="43" t="str">
        <f>'1C'!$AF$1</f>
        <v>American Needle</v>
      </c>
      <c r="K206" s="104" t="s">
        <v>1238</v>
      </c>
      <c r="L206" s="59" t="str">
        <f>IF(K206&lt;&gt;"",IFERROR(VLOOKUP(A206,'1C'!A:T,8,0),IFERROR(VLOOKUP(K206,Colors!D:E,2,0),"")),"")</f>
        <v>серый / синий</v>
      </c>
      <c r="M206" s="59" t="str">
        <f>IF(K206&lt;&gt;"",IFERROR(VLOOKUP(A206,'1C'!A:T,18,0),IFERROR(VLOOKUP(K206,Colors!D:E,2,0),"")),"")</f>
        <v>серый</v>
      </c>
      <c r="N206" s="147" t="str">
        <f>IF(A206&lt;&gt;"",_xlfn.XLOOKUP(A206,'1C'!A:A,'1C'!I:I,_xlfn.XLOOKUP(C206,'1C'!S:S,'1C'!I:I,"",0),0),"")</f>
        <v>100% хлопок</v>
      </c>
      <c r="P206" s="43" t="str">
        <f>IF(A206&lt;&gt;"",_xlfn.XLOOKUP(A206,'1C'!A:A,'1C'!N:N,_xlfn.XLOOKUP(C206,'1C'!S:S,'1C'!N:N,"",0),0),"")</f>
        <v>хлопковые</v>
      </c>
      <c r="Q206" s="59" t="s">
        <v>15</v>
      </c>
      <c r="R206" s="43" t="str">
        <f>IF(A206&lt;&gt;"",_xlfn.XLOOKUP(A206,'1C'!A:A,'1C'!K:K,_xlfn.XLOOKUP(C206,'1C'!S:S,'1C'!K:K,"",0),0),"")</f>
        <v>Унисекс</v>
      </c>
      <c r="S206" s="44">
        <v>12</v>
      </c>
      <c r="AQ206" s="59">
        <f t="shared" si="1"/>
        <v>12</v>
      </c>
      <c r="AR206" s="43" t="str">
        <f>IF(A206&lt;&gt;"",_xlfn.XLOOKUP(_xlfn.XLOOKUP(A206,'1C'!A:A,'1C'!O:O,_xlfn.XLOOKUP(C206,'1C'!S:S,'1C'!O:O,"",0),0),Settings!N:N,Settings!O:O,"",0),"")</f>
        <v>BD</v>
      </c>
      <c r="AS206" s="56" t="str">
        <f ca="1">IF(BA206&gt;0,_xlfn.XLOOKUP(A206,'1C'!$A:$A,'1C'!P:P,"",0,),IF(AR206&lt;&gt;"",VLOOKUP(AR206,INDIRECT(SUBSTITUTE($J206," ","")&amp;"Manufactures"),3,0),"Требуется код страны"))</f>
        <v>American Needle, Inc; 1275 Busch Parkway, Buffalo Grove, IL 60089, USA</v>
      </c>
      <c r="AT206" s="56" t="str">
        <f ca="1">IF(BA206&gt;0,_xlfn.XLOOKUP(A206,'1C'!$A:$A,'1C'!O:O,"",0),IF(AR206&lt;&gt;"",VLOOKUP(AR206,INDIRECT(SUBSTITUTE($J206," ","")&amp;"Manufactures"),2,0),"Требуется код страны"))</f>
        <v>Бангладеш</v>
      </c>
      <c r="AU206" s="76">
        <f t="shared" si="2"/>
        <v>0.1</v>
      </c>
      <c r="AV206" s="43">
        <f t="shared" si="3"/>
        <v>0.15000000000000002</v>
      </c>
      <c r="AW206" s="43">
        <f t="shared" si="4"/>
        <v>1.2000000000000002</v>
      </c>
      <c r="AX206" s="43">
        <f t="shared" si="5"/>
        <v>1.8000000000000003</v>
      </c>
      <c r="AY206" s="155">
        <v>8.2874999999999996</v>
      </c>
      <c r="AZ206" s="156">
        <f t="shared" si="6"/>
        <v>99.449999999999989</v>
      </c>
      <c r="BA206" s="45">
        <f>IF(A206&lt;&gt;"",IF(_xlfn.XLOOKUP(A206,'1C'!A:A,'1C'!A:A,0,0)&gt;0,1,0),"")</f>
        <v>1</v>
      </c>
      <c r="BB206" s="150">
        <f>IF(C206&lt;&gt;"",IF(_xlfn.XLOOKUP(C206,'1C'!S:S,'1C'!S:S,0,0)&gt;0,0,1),"")</f>
        <v>0</v>
      </c>
      <c r="BC206" s="45">
        <f t="shared" si="7"/>
        <v>0</v>
      </c>
    </row>
    <row r="207" spans="1:55" ht="127.35" customHeight="1">
      <c r="A207" s="43" t="str">
        <f t="shared" si="0"/>
        <v>44747B-SERdki</v>
      </c>
      <c r="B207" s="45" t="str">
        <f>IF(C207&lt;&gt;"",_xlfn.XLOOKUP(A207,'1C'!A:A,'1C'!B:B,MID(_xlfn.XLOOKUP(C207,'1C'!S:S,'1C'!B:B,"new",0),1,7)&amp;IF(BC207=1,IF(L207&lt;&gt;"",_xlfn.XLOOKUP(L207,Colors!A:A,Colors!B:B,"new",0),"требуется цвет"),""),0))</f>
        <v>06-099-18</v>
      </c>
      <c r="C207" s="44" t="s">
        <v>2244</v>
      </c>
      <c r="D207" s="43" t="str">
        <f>IF(A207&lt;&gt;"",_xlfn.XLOOKUP(C207,'1C'!S:S,'1C'!T:T,"",0),"")</f>
        <v>Seattle Rainers Archive MILB</v>
      </c>
      <c r="E207" s="43" t="str">
        <f>IF(F207&lt;&gt;"",IFERROR(VLOOKUP(F207,Категории!A:B,2,0),""),"Требуется категория")</f>
        <v>Бейсболки</v>
      </c>
      <c r="F207" s="43" t="str">
        <f>IF(A207&lt;&gt;"",IF(BA207&gt;0,_xlfn.XLOOKUP(A207,'1C'!A:A,'1C'!J:J,"",0),_xlfn.XLOOKUP(C207,'1C'!S:S,'1C'!J:J,"",0)),"")</f>
        <v>Бейсболка</v>
      </c>
      <c r="G207" s="43" t="str">
        <f>IF(C207&lt;&gt;"",IF(BA207&gt;0,_xlfn.XLOOKUP(A207,'1C'!A:A,'1C'!L:L,"",0),_xlfn.XLOOKUP(C207,'1C'!S:S,'1C'!L:L,"",0)),"")</f>
        <v>AMERICAN NEEDLE-Sport</v>
      </c>
      <c r="H207" s="43" t="str">
        <f>IF(A207&lt;&gt;"",_xlfn.XLOOKUP(A207,'1C'!A:A,'1C'!M:M,_xlfn.XLOOKUP(C207,'1C'!S:S,'1C'!M:M,"",0),0))</f>
        <v>всесезон</v>
      </c>
      <c r="J207" s="43" t="str">
        <f>'1C'!$AF$1</f>
        <v>American Needle</v>
      </c>
      <c r="K207" s="104" t="s">
        <v>1242</v>
      </c>
      <c r="L207" s="59" t="str">
        <f>IF(K207&lt;&gt;"",IFERROR(VLOOKUP(A207,'1C'!A:T,8,0),IFERROR(VLOOKUP(K207,Colors!D:E,2,0),"")),"")</f>
        <v>красный</v>
      </c>
      <c r="M207" s="59" t="str">
        <f>IF(K207&lt;&gt;"",IFERROR(VLOOKUP(A207,'1C'!A:T,18,0),IFERROR(VLOOKUP(K207,Colors!D:E,2,0),"")),"")</f>
        <v>красный</v>
      </c>
      <c r="N207" s="147" t="str">
        <f>IF(A207&lt;&gt;"",_xlfn.XLOOKUP(A207,'1C'!A:A,'1C'!I:I,_xlfn.XLOOKUP(C207,'1C'!S:S,'1C'!I:I,"",0),0),"")</f>
        <v>100% хлопок</v>
      </c>
      <c r="P207" s="43" t="str">
        <f>IF(A207&lt;&gt;"",_xlfn.XLOOKUP(A207,'1C'!A:A,'1C'!N:N,_xlfn.XLOOKUP(C207,'1C'!S:S,'1C'!N:N,"",0),0),"")</f>
        <v>хлопковые</v>
      </c>
      <c r="Q207" s="59" t="s">
        <v>15</v>
      </c>
      <c r="R207" s="43" t="str">
        <f>IF(A207&lt;&gt;"",_xlfn.XLOOKUP(A207,'1C'!A:A,'1C'!K:K,_xlfn.XLOOKUP(C207,'1C'!S:S,'1C'!K:K,"",0),0),"")</f>
        <v>Унисекс</v>
      </c>
      <c r="S207" s="44">
        <v>12</v>
      </c>
      <c r="AQ207" s="59">
        <f t="shared" si="1"/>
        <v>12</v>
      </c>
      <c r="AR207" s="43" t="str">
        <f>IF(A207&lt;&gt;"",_xlfn.XLOOKUP(_xlfn.XLOOKUP(A207,'1C'!A:A,'1C'!O:O,_xlfn.XLOOKUP(C207,'1C'!S:S,'1C'!O:O,"",0),0),Settings!N:N,Settings!O:O,"",0),"")</f>
        <v>BD</v>
      </c>
      <c r="AS207" s="56" t="str">
        <f ca="1">IF(BA207&gt;0,_xlfn.XLOOKUP(A207,'1C'!$A:$A,'1C'!P:P,"",0,),IF(AR207&lt;&gt;"",VLOOKUP(AR207,INDIRECT(SUBSTITUTE($J207," ","")&amp;"Manufactures"),3,0),"Требуется код страны"))</f>
        <v>American Needle, Inc; 1275 Busch Parkway, Buffalo Grove, IL 60089, USA</v>
      </c>
      <c r="AT207" s="56" t="str">
        <f ca="1">IF(BA207&gt;0,_xlfn.XLOOKUP(A207,'1C'!$A:$A,'1C'!O:O,"",0),IF(AR207&lt;&gt;"",VLOOKUP(AR207,INDIRECT(SUBSTITUTE($J207," ","")&amp;"Manufactures"),2,0),"Требуется код страны"))</f>
        <v>Бангладеш</v>
      </c>
      <c r="AU207" s="76">
        <f t="shared" si="2"/>
        <v>0.1</v>
      </c>
      <c r="AV207" s="43">
        <f t="shared" si="3"/>
        <v>0.15000000000000002</v>
      </c>
      <c r="AW207" s="43">
        <f t="shared" si="4"/>
        <v>1.2000000000000002</v>
      </c>
      <c r="AX207" s="43">
        <f t="shared" si="5"/>
        <v>1.8000000000000003</v>
      </c>
      <c r="AY207" s="155">
        <v>8.2874999999999996</v>
      </c>
      <c r="AZ207" s="156">
        <f t="shared" si="6"/>
        <v>99.449999999999989</v>
      </c>
      <c r="BA207" s="45">
        <f>IF(A207&lt;&gt;"",IF(_xlfn.XLOOKUP(A207,'1C'!A:A,'1C'!A:A,0,0)&gt;0,1,0),"")</f>
        <v>1</v>
      </c>
      <c r="BB207" s="150">
        <f>IF(C207&lt;&gt;"",IF(_xlfn.XLOOKUP(C207,'1C'!S:S,'1C'!S:S,0,0)&gt;0,0,1),"")</f>
        <v>0</v>
      </c>
      <c r="BC207" s="45">
        <f t="shared" si="7"/>
        <v>0</v>
      </c>
    </row>
    <row r="208" spans="1:55" ht="119.65" customHeight="1">
      <c r="A208" s="43" t="str">
        <f t="shared" si="0"/>
        <v>44820A-NASAnavy</v>
      </c>
      <c r="B208" s="45" t="str">
        <f>IF(C208&lt;&gt;"",_xlfn.XLOOKUP(A208,'1C'!A:A,'1C'!B:B,MID(_xlfn.XLOOKUP(C208,'1C'!S:S,'1C'!B:B,"new",0),1,7)&amp;IF(BC208=1,IF(L208&lt;&gt;"",_xlfn.XLOOKUP(L208,Colors!A:A,Colors!B:B,"new",0),"требуется цвет"),""),0))</f>
        <v>06-101-16</v>
      </c>
      <c r="C208" s="44" t="s">
        <v>2245</v>
      </c>
      <c r="D208" s="43" t="str">
        <f>IF(A208&lt;&gt;"",_xlfn.XLOOKUP(C208,'1C'!S:S,'1C'!T:T,"",0),"")</f>
        <v>Space with NASA</v>
      </c>
      <c r="E208" s="43" t="str">
        <f>IF(F208&lt;&gt;"",IFERROR(VLOOKUP(F208,Категории!A:B,2,0),""),"Требуется категория")</f>
        <v>Бейсболки</v>
      </c>
      <c r="F208" s="43" t="str">
        <f>IF(A208&lt;&gt;"",IF(BA208&gt;0,_xlfn.XLOOKUP(A208,'1C'!A:A,'1C'!J:J,"",0),_xlfn.XLOOKUP(C208,'1C'!S:S,'1C'!J:J,"",0)),"")</f>
        <v>Бейсболка</v>
      </c>
      <c r="G208" s="43" t="str">
        <f>IF(C208&lt;&gt;"",IF(BA208&gt;0,_xlfn.XLOOKUP(A208,'1C'!A:A,'1C'!L:L,"",0),_xlfn.XLOOKUP(C208,'1C'!S:S,'1C'!L:L,"",0)),"")</f>
        <v>Space</v>
      </c>
      <c r="H208" s="43" t="str">
        <f>IF(A208&lt;&gt;"",_xlfn.XLOOKUP(A208,'1C'!A:A,'1C'!M:M,_xlfn.XLOOKUP(C208,'1C'!S:S,'1C'!M:M,"",0),0))</f>
        <v>всесезон</v>
      </c>
      <c r="J208" s="43" t="str">
        <f>'1C'!$AF$1</f>
        <v>American Needle</v>
      </c>
      <c r="K208" s="104" t="s">
        <v>818</v>
      </c>
      <c r="L208" s="59" t="str">
        <f>IF(K208&lt;&gt;"",IFERROR(VLOOKUP(A208,'1C'!A:T,8,0),IFERROR(VLOOKUP(K208,Colors!D:E,2,0),"")),"")</f>
        <v>темно-синий</v>
      </c>
      <c r="M208" s="59" t="str">
        <f>IF(K208&lt;&gt;"",IFERROR(VLOOKUP(A208,'1C'!A:T,18,0),IFERROR(VLOOKUP(K208,Colors!D:E,2,0),"")),"")</f>
        <v>синий</v>
      </c>
      <c r="N208" s="147" t="str">
        <f>IF(A208&lt;&gt;"",_xlfn.XLOOKUP(A208,'1C'!A:A,'1C'!I:I,_xlfn.XLOOKUP(C208,'1C'!S:S,'1C'!I:I,"",0),0),"")</f>
        <v>100% хлопок</v>
      </c>
      <c r="P208" s="43" t="str">
        <f>IF(A208&lt;&gt;"",_xlfn.XLOOKUP(A208,'1C'!A:A,'1C'!N:N,_xlfn.XLOOKUP(C208,'1C'!S:S,'1C'!N:N,"",0),0),"")</f>
        <v>хлопковые</v>
      </c>
      <c r="Q208" s="59" t="s">
        <v>15</v>
      </c>
      <c r="R208" s="43" t="str">
        <f>IF(A208&lt;&gt;"",_xlfn.XLOOKUP(A208,'1C'!A:A,'1C'!K:K,_xlfn.XLOOKUP(C208,'1C'!S:S,'1C'!K:K,"",0),0),"")</f>
        <v>Унисекс</v>
      </c>
      <c r="S208" s="44">
        <v>26</v>
      </c>
      <c r="AQ208" s="59">
        <f t="shared" si="1"/>
        <v>26</v>
      </c>
      <c r="AR208" s="43" t="str">
        <f>IF(A208&lt;&gt;"",_xlfn.XLOOKUP(_xlfn.XLOOKUP(A208,'1C'!A:A,'1C'!O:O,_xlfn.XLOOKUP(C208,'1C'!S:S,'1C'!O:O,"",0),0),Settings!N:N,Settings!O:O,"",0),"")</f>
        <v>CN</v>
      </c>
      <c r="AS208" s="56" t="str">
        <f ca="1">IF(BA208&gt;0,_xlfn.XLOOKUP(A208,'1C'!$A:$A,'1C'!P:P,"",0,),IF(AR208&lt;&gt;"",VLOOKUP(AR208,INDIRECT(SUBSTITUTE($J208," ","")&amp;"Manufactures"),3,0),"Требуется код страны"))</f>
        <v>American Needle, Inc; 1275 Busch Parkway, Buffalo Grove, IL 60089, USA</v>
      </c>
      <c r="AT208" s="56" t="str">
        <f ca="1">IF(BA208&gt;0,_xlfn.XLOOKUP(A208,'1C'!$A:$A,'1C'!O:O,"",0),IF(AR208&lt;&gt;"",VLOOKUP(AR208,INDIRECT(SUBSTITUTE($J208," ","")&amp;"Manufactures"),2,0),"Требуется код страны"))</f>
        <v>Китай</v>
      </c>
      <c r="AU208" s="76">
        <f t="shared" si="2"/>
        <v>0.1</v>
      </c>
      <c r="AV208" s="43">
        <f t="shared" si="3"/>
        <v>0.15000000000000002</v>
      </c>
      <c r="AW208" s="43">
        <f t="shared" si="4"/>
        <v>2.6</v>
      </c>
      <c r="AX208" s="43">
        <f t="shared" si="5"/>
        <v>3.9000000000000004</v>
      </c>
      <c r="AY208" s="155">
        <v>8.9250000000000007</v>
      </c>
      <c r="AZ208" s="156">
        <f t="shared" si="6"/>
        <v>232.05</v>
      </c>
      <c r="BA208" s="45">
        <f>IF(A208&lt;&gt;"",IF(_xlfn.XLOOKUP(A208,'1C'!A:A,'1C'!A:A,0,0)&gt;0,1,0),"")</f>
        <v>1</v>
      </c>
      <c r="BB208" s="150">
        <f>IF(C208&lt;&gt;"",IF(_xlfn.XLOOKUP(C208,'1C'!S:S,'1C'!S:S,0,0)&gt;0,0,1),"")</f>
        <v>0</v>
      </c>
      <c r="BC208" s="45">
        <f t="shared" si="7"/>
        <v>0</v>
      </c>
    </row>
    <row r="209" spans="1:55" ht="132.94999999999999" customHeight="1">
      <c r="A209" s="43" t="str">
        <f t="shared" si="0"/>
        <v>44890D-CALIblk</v>
      </c>
      <c r="B209" s="45" t="str">
        <f>IF(C209&lt;&gt;"",_xlfn.XLOOKUP(A209,'1C'!A:A,'1C'!B:B,MID(_xlfn.XLOOKUP(C209,'1C'!S:S,'1C'!B:B,"new",0),1,7)&amp;IF(BC209=1,IF(L209&lt;&gt;"",_xlfn.XLOOKUP(L209,Colors!A:A,Colors!B:B,"new",0),"требуется цвет"),""),0))</f>
        <v>06-104-09</v>
      </c>
      <c r="C209" s="44" t="s">
        <v>2246</v>
      </c>
      <c r="D209" s="43" t="str">
        <f>IF(A209&lt;&gt;"",_xlfn.XLOOKUP(C209,'1C'!S:S,'1C'!T:T,"",0),"")</f>
        <v>California</v>
      </c>
      <c r="E209" s="43" t="str">
        <f>IF(F209&lt;&gt;"",IFERROR(VLOOKUP(F209,Категории!A:B,2,0),""),"Требуется категория")</f>
        <v>Бейсболки</v>
      </c>
      <c r="F209" s="43" t="str">
        <f>IF(A209&lt;&gt;"",IF(BA209&gt;0,_xlfn.XLOOKUP(A209,'1C'!A:A,'1C'!J:J,"",0),_xlfn.XLOOKUP(C209,'1C'!S:S,'1C'!J:J,"",0)),"")</f>
        <v>Бейсболка с сеточкой</v>
      </c>
      <c r="G209" s="43" t="str">
        <f>IF(C209&lt;&gt;"",IF(BA209&gt;0,_xlfn.XLOOKUP(A209,'1C'!A:A,'1C'!L:L,"",0),_xlfn.XLOOKUP(C209,'1C'!S:S,'1C'!L:L,"",0)),"")</f>
        <v>AMERICAN NEEDLE-State</v>
      </c>
      <c r="H209" s="43" t="str">
        <f>IF(A209&lt;&gt;"",_xlfn.XLOOKUP(A209,'1C'!A:A,'1C'!M:M,_xlfn.XLOOKUP(C209,'1C'!S:S,'1C'!M:M,"",0),0))</f>
        <v>всесезон</v>
      </c>
      <c r="J209" s="43" t="str">
        <f>'1C'!$AF$1</f>
        <v>American Needle</v>
      </c>
      <c r="K209" s="104" t="s">
        <v>843</v>
      </c>
      <c r="L209" s="59" t="str">
        <f>IF(K209&lt;&gt;"",IFERROR(VLOOKUP(A209,'1C'!A:T,8,0),IFERROR(VLOOKUP(K209,Colors!D:E,2,0),"")),"")</f>
        <v>черный</v>
      </c>
      <c r="M209" s="59" t="str">
        <f>IF(K209&lt;&gt;"",IFERROR(VLOOKUP(A209,'1C'!A:T,18,0),IFERROR(VLOOKUP(K209,Colors!D:E,2,0),"")),"")</f>
        <v>черный</v>
      </c>
      <c r="N209" s="147" t="str">
        <f>IF(A209&lt;&gt;"",_xlfn.XLOOKUP(A209,'1C'!A:A,'1C'!I:I,_xlfn.XLOOKUP(C209,'1C'!S:S,'1C'!I:I,"",0),0),"")</f>
        <v>100% полиэстер</v>
      </c>
      <c r="P209" s="43">
        <f>IF(A209&lt;&gt;"",_xlfn.XLOOKUP(A209,'1C'!A:A,'1C'!N:N,_xlfn.XLOOKUP(C209,'1C'!S:S,'1C'!N:N,"",0),0),"")</f>
        <v>0</v>
      </c>
      <c r="Q209" s="59" t="s">
        <v>15</v>
      </c>
      <c r="R209" s="43" t="str">
        <f>IF(A209&lt;&gt;"",_xlfn.XLOOKUP(A209,'1C'!A:A,'1C'!K:K,_xlfn.XLOOKUP(C209,'1C'!S:S,'1C'!K:K,"",0),0),"")</f>
        <v>Унисекс</v>
      </c>
      <c r="S209" s="44">
        <v>18</v>
      </c>
      <c r="AQ209" s="59">
        <f t="shared" si="1"/>
        <v>18</v>
      </c>
      <c r="AR209" s="43" t="str">
        <f>IF(A209&lt;&gt;"",_xlfn.XLOOKUP(_xlfn.XLOOKUP(A209,'1C'!A:A,'1C'!O:O,_xlfn.XLOOKUP(C209,'1C'!S:S,'1C'!O:O,"",0),0),Settings!N:N,Settings!O:O,"",0),"")</f>
        <v>CN</v>
      </c>
      <c r="AS209" s="56" t="str">
        <f ca="1">IF(BA209&gt;0,_xlfn.XLOOKUP(A209,'1C'!$A:$A,'1C'!P:P,"",0,),IF(AR209&lt;&gt;"",VLOOKUP(AR209,INDIRECT(SUBSTITUTE($J209," ","")&amp;"Manufactures"),3,0),"Требуется код страны"))</f>
        <v>American Needle, Inc; 1275 Busch Parkway, Buffalo Grove, IL 60089, USA</v>
      </c>
      <c r="AT209" s="56" t="str">
        <f ca="1">IF(BA209&gt;0,_xlfn.XLOOKUP(A209,'1C'!$A:$A,'1C'!O:O,"",0),IF(AR209&lt;&gt;"",VLOOKUP(AR209,INDIRECT(SUBSTITUTE($J209," ","")&amp;"Manufactures"),2,0),"Требуется код страны"))</f>
        <v>Китай</v>
      </c>
      <c r="AU209" s="76">
        <f t="shared" si="2"/>
        <v>0.1</v>
      </c>
      <c r="AV209" s="43">
        <f t="shared" si="3"/>
        <v>0.15000000000000002</v>
      </c>
      <c r="AW209" s="43">
        <f t="shared" si="4"/>
        <v>1.8</v>
      </c>
      <c r="AX209" s="43">
        <f t="shared" si="5"/>
        <v>2.7</v>
      </c>
      <c r="AY209" s="155">
        <v>9.7749999999999986</v>
      </c>
      <c r="AZ209" s="156">
        <f t="shared" si="6"/>
        <v>175.95</v>
      </c>
      <c r="BA209" s="45">
        <f>IF(A209&lt;&gt;"",IF(_xlfn.XLOOKUP(A209,'1C'!A:A,'1C'!A:A,0,0)&gt;0,1,0),"")</f>
        <v>1</v>
      </c>
      <c r="BB209" s="150">
        <f>IF(C209&lt;&gt;"",IF(_xlfn.XLOOKUP(C209,'1C'!S:S,'1C'!S:S,0,0)&gt;0,0,1),"")</f>
        <v>0</v>
      </c>
      <c r="BC209" s="45">
        <f t="shared" si="7"/>
        <v>0</v>
      </c>
    </row>
    <row r="210" spans="1:55" ht="119.65" customHeight="1">
      <c r="A210" s="43" t="str">
        <f t="shared" si="0"/>
        <v>44930A-CALIwhite - black</v>
      </c>
      <c r="B210" s="45" t="str">
        <f>IF(C210&lt;&gt;"",_xlfn.XLOOKUP(A210,'1C'!A:A,'1C'!B:B,MID(_xlfn.XLOOKUP(C210,'1C'!S:S,'1C'!B:B,"new",0),1,7)&amp;IF(BC210=1,IF(L210&lt;&gt;"",_xlfn.XLOOKUP(L210,Colors!A:A,Colors!B:B,"new",0),"требуется цвет"),""),0))</f>
        <v>06-471-17</v>
      </c>
      <c r="C210" s="44" t="s">
        <v>2247</v>
      </c>
      <c r="D210" s="43" t="str">
        <f>VLOOKUP(C210,Names!A:B,2,0)</f>
        <v>CALI Pace SL</v>
      </c>
      <c r="E210" s="43" t="str">
        <f>IF(F210&lt;&gt;"",IFERROR(VLOOKUP(F210,Категории!A:B,2,0),""),"Требуется категория")</f>
        <v>Бейсболки</v>
      </c>
      <c r="F210" s="44" t="s">
        <v>327</v>
      </c>
      <c r="G210" s="44" t="s">
        <v>880</v>
      </c>
      <c r="H210" s="44" t="s">
        <v>388</v>
      </c>
      <c r="J210" s="43" t="str">
        <f>'1C'!$AF$1</f>
        <v>American Needle</v>
      </c>
      <c r="K210" s="104" t="s">
        <v>2298</v>
      </c>
      <c r="L210" s="58" t="s">
        <v>57</v>
      </c>
      <c r="M210" s="58" t="s">
        <v>57</v>
      </c>
      <c r="N210" s="141" t="str">
        <f>Order!B208</f>
        <v>97% Полиэстер - 3% Спандекс</v>
      </c>
      <c r="Q210" s="59" t="s">
        <v>15</v>
      </c>
      <c r="R210" s="58" t="s">
        <v>382</v>
      </c>
      <c r="S210" s="44">
        <v>6</v>
      </c>
      <c r="AQ210" s="59">
        <f t="shared" si="1"/>
        <v>6</v>
      </c>
      <c r="AR210" s="66" t="str">
        <f>Order!A208</f>
        <v>CN</v>
      </c>
      <c r="AS210" s="56" t="str">
        <f ca="1">IF(BA210&gt;0,_xlfn.XLOOKUP(A210,'1C'!$A:$A,'1C'!P:P,"",0,),IF(AR210&lt;&gt;"",VLOOKUP(AR210,INDIRECT(SUBSTITUTE($J210," ","")&amp;"Manufactures"),3,0),"Требуется код страны"))</f>
        <v>American Needle, Inc; 1275 Busch Parkway, Buffalo Grove, IL 60089, USA</v>
      </c>
      <c r="AT210" s="56" t="str">
        <f ca="1">IF(BA210&gt;0,_xlfn.XLOOKUP(A210,'1C'!$A:$A,'1C'!O:O,"",0),IF(AR210&lt;&gt;"",VLOOKUP(AR210,INDIRECT(SUBSTITUTE($J210," ","")&amp;"Manufactures"),2,0),"Требуется код страны"))</f>
        <v>Китай</v>
      </c>
      <c r="AU210" s="76">
        <f t="shared" si="2"/>
        <v>0.1</v>
      </c>
      <c r="AV210" s="43">
        <f t="shared" si="3"/>
        <v>0.15000000000000002</v>
      </c>
      <c r="AW210" s="43">
        <f t="shared" si="4"/>
        <v>0.60000000000000009</v>
      </c>
      <c r="AX210" s="43">
        <f t="shared" si="5"/>
        <v>0.90000000000000013</v>
      </c>
      <c r="AY210" s="155">
        <v>9.1383333333333336</v>
      </c>
      <c r="AZ210" s="156">
        <f t="shared" si="6"/>
        <v>54.83</v>
      </c>
      <c r="BA210" s="45">
        <f>IF(A210&lt;&gt;"",IF(_xlfn.XLOOKUP(A210,'1C'!A:A,'1C'!A:A,0,0)&gt;0,1,0),"")</f>
        <v>0</v>
      </c>
      <c r="BB210" s="150">
        <f>IF(C210&lt;&gt;"",IF(_xlfn.XLOOKUP(C210,'1C'!S:S,'1C'!S:S,0,0)&gt;0,0,1),"")</f>
        <v>0</v>
      </c>
      <c r="BC210" s="45">
        <f t="shared" si="7"/>
        <v>1</v>
      </c>
    </row>
    <row r="211" spans="1:55" ht="127.5" customHeight="1">
      <c r="A211" s="43" t="str">
        <f t="shared" si="0"/>
        <v>45000A-NASApblu</v>
      </c>
      <c r="B211" s="45" t="str">
        <f>IF(C211&lt;&gt;"",_xlfn.XLOOKUP(A211,'1C'!A:A,'1C'!B:B,MID(_xlfn.XLOOKUP(C211,'1C'!S:S,'1C'!B:B,"new",0),1,7)&amp;IF(BC211=1,IF(L211&lt;&gt;"",_xlfn.XLOOKUP(L211,Colors!A:A,Colors!B:B,"new",0),"требуется цвет"),""),0))</f>
        <v>06-110-19</v>
      </c>
      <c r="C211" s="44" t="s">
        <v>2248</v>
      </c>
      <c r="D211" s="43" t="str">
        <f>IF(A211&lt;&gt;"",_xlfn.XLOOKUP(C211,'1C'!S:S,'1C'!T:T,"",0),"")</f>
        <v>Space with NASA</v>
      </c>
      <c r="E211" s="43" t="str">
        <f>IF(F211&lt;&gt;"",IFERROR(VLOOKUP(F211,Категории!A:B,2,0),""),"Требуется категория")</f>
        <v>Бейсболки</v>
      </c>
      <c r="F211" s="43" t="str">
        <f>IF(A211&lt;&gt;"",IF(BA211&gt;0,_xlfn.XLOOKUP(A211,'1C'!A:A,'1C'!J:J,"",0),_xlfn.XLOOKUP(C211,'1C'!S:S,'1C'!J:J,"",0)),"")</f>
        <v>Бейсболка</v>
      </c>
      <c r="G211" s="43" t="str">
        <f>IF(C211&lt;&gt;"",IF(BA211&gt;0,_xlfn.XLOOKUP(A211,'1C'!A:A,'1C'!L:L,"",0),_xlfn.XLOOKUP(C211,'1C'!S:S,'1C'!L:L,"",0)),"")</f>
        <v>AMERICAN NEEDLE-Space</v>
      </c>
      <c r="H211" s="43" t="str">
        <f>IF(A211&lt;&gt;"",_xlfn.XLOOKUP(A211,'1C'!A:A,'1C'!M:M,_xlfn.XLOOKUP(C211,'1C'!S:S,'1C'!M:M,"",0),0))</f>
        <v>всесезон</v>
      </c>
      <c r="J211" s="43" t="str">
        <f>'1C'!$AF$1</f>
        <v>American Needle</v>
      </c>
      <c r="K211" s="104" t="s">
        <v>1283</v>
      </c>
      <c r="L211" s="59" t="str">
        <f>IF(K211&lt;&gt;"",IFERROR(VLOOKUP(A211,'1C'!A:T,8,0),IFERROR(VLOOKUP(K211,Colors!D:E,2,0),"")),"")</f>
        <v>голубой</v>
      </c>
      <c r="M211" s="59" t="str">
        <f>IF(K211&lt;&gt;"",IFERROR(VLOOKUP(A211,'1C'!A:T,18,0),IFERROR(VLOOKUP(K211,Colors!D:E,2,0),"")),"")</f>
        <v>голубой</v>
      </c>
      <c r="N211" s="147" t="str">
        <f>IF(A211&lt;&gt;"",_xlfn.XLOOKUP(A211,'1C'!A:A,'1C'!I:I,_xlfn.XLOOKUP(C211,'1C'!S:S,'1C'!I:I,"",0),0),"")</f>
        <v>58% полиэстер - 42% нейлон</v>
      </c>
      <c r="P211" s="43" t="str">
        <f>IF(A211&lt;&gt;"",_xlfn.XLOOKUP(A211,'1C'!A:A,'1C'!N:N,_xlfn.XLOOKUP(C211,'1C'!S:S,'1C'!N:N,"",0),0),"")</f>
        <v>хлопковые</v>
      </c>
      <c r="Q211" s="59" t="s">
        <v>15</v>
      </c>
      <c r="R211" s="43" t="str">
        <f>IF(A211&lt;&gt;"",_xlfn.XLOOKUP(A211,'1C'!A:A,'1C'!K:K,_xlfn.XLOOKUP(C211,'1C'!S:S,'1C'!K:K,"",0),0),"")</f>
        <v>Унисекс</v>
      </c>
      <c r="S211" s="44">
        <v>11</v>
      </c>
      <c r="AQ211" s="59">
        <f t="shared" si="1"/>
        <v>11</v>
      </c>
      <c r="AR211" s="43" t="str">
        <f>IF(A211&lt;&gt;"",_xlfn.XLOOKUP(_xlfn.XLOOKUP(A211,'1C'!A:A,'1C'!O:O,_xlfn.XLOOKUP(C211,'1C'!S:S,'1C'!O:O,"",0),0),Settings!N:N,Settings!O:O,"",0),"")</f>
        <v>CN</v>
      </c>
      <c r="AS211" s="56" t="str">
        <f ca="1">IF(BA211&gt;0,_xlfn.XLOOKUP(A211,'1C'!$A:$A,'1C'!P:P,"",0,),IF(AR211&lt;&gt;"",VLOOKUP(AR211,INDIRECT(SUBSTITUTE($J211," ","")&amp;"Manufactures"),3,0),"Требуется код страны"))</f>
        <v>American Needle, Inc; 1275 Busch Parkway, Buffalo Grove, IL 60089, USA</v>
      </c>
      <c r="AT211" s="56" t="str">
        <f ca="1">IF(BA211&gt;0,_xlfn.XLOOKUP(A211,'1C'!$A:$A,'1C'!O:O,"",0),IF(AR211&lt;&gt;"",VLOOKUP(AR211,INDIRECT(SUBSTITUTE($J211," ","")&amp;"Manufactures"),2,0),"Требуется код страны"))</f>
        <v>Китай</v>
      </c>
      <c r="AU211" s="76">
        <f t="shared" si="2"/>
        <v>0.1</v>
      </c>
      <c r="AV211" s="43">
        <f t="shared" si="3"/>
        <v>0.15000000000000002</v>
      </c>
      <c r="AW211" s="43">
        <f t="shared" si="4"/>
        <v>1.1000000000000001</v>
      </c>
      <c r="AX211" s="43">
        <f t="shared" si="5"/>
        <v>1.6500000000000004</v>
      </c>
      <c r="AY211" s="155">
        <v>7.4372727272727275</v>
      </c>
      <c r="AZ211" s="156">
        <f t="shared" si="6"/>
        <v>81.81</v>
      </c>
      <c r="BA211" s="45">
        <f>IF(A211&lt;&gt;"",IF(_xlfn.XLOOKUP(A211,'1C'!A:A,'1C'!A:A,0,0)&gt;0,1,0),"")</f>
        <v>1</v>
      </c>
      <c r="BB211" s="150">
        <f>IF(C211&lt;&gt;"",IF(_xlfn.XLOOKUP(C211,'1C'!S:S,'1C'!S:S,0,0)&gt;0,0,1),"")</f>
        <v>0</v>
      </c>
      <c r="BC211" s="45">
        <f t="shared" si="7"/>
        <v>0</v>
      </c>
    </row>
    <row r="212" spans="1:55" ht="128.85" customHeight="1">
      <c r="A212" s="43" t="str">
        <f t="shared" si="0"/>
        <v>45020A-AMERblack</v>
      </c>
      <c r="B212" s="45" t="str">
        <f>IF(C212&lt;&gt;"",_xlfn.XLOOKUP(A212,'1C'!A:A,'1C'!B:B,MID(_xlfn.XLOOKUP(C212,'1C'!S:S,'1C'!B:B,"new",0),1,7)&amp;IF(BC212=1,IF(L212&lt;&gt;"",_xlfn.XLOOKUP(L212,Colors!A:A,Colors!B:B,"new",0),"требуется цвет"),""),0))</f>
        <v>06-328-09</v>
      </c>
      <c r="C212" s="44" t="s">
        <v>2249</v>
      </c>
      <c r="D212" s="43" t="str">
        <f>IF(A212&lt;&gt;"",_xlfn.XLOOKUP(C212,'1C'!S:S,'1C'!T:T,"",0),"")</f>
        <v>Americana Conrad</v>
      </c>
      <c r="E212" s="43" t="str">
        <f>IF(F212&lt;&gt;"",IFERROR(VLOOKUP(F212,Категории!A:B,2,0),""),"Требуется категория")</f>
        <v>Бейсболки</v>
      </c>
      <c r="F212" s="43" t="str">
        <f>IF(A212&lt;&gt;"",IF(BA212&gt;0,_xlfn.XLOOKUP(A212,'1C'!A:A,'1C'!J:J,"",0),_xlfn.XLOOKUP(C212,'1C'!S:S,'1C'!J:J,"",0)),"")</f>
        <v>Бейсболка</v>
      </c>
      <c r="G212" s="43" t="str">
        <f>IF(C212&lt;&gt;"",IF(BA212&gt;0,_xlfn.XLOOKUP(A212,'1C'!A:A,'1C'!L:L,"",0),_xlfn.XLOOKUP(C212,'1C'!S:S,'1C'!L:L,"",0)),"")</f>
        <v>State</v>
      </c>
      <c r="H212" s="43" t="str">
        <f>IF(A212&lt;&gt;"",_xlfn.XLOOKUP(A212,'1C'!A:A,'1C'!M:M,_xlfn.XLOOKUP(C212,'1C'!S:S,'1C'!M:M,"",0),0))</f>
        <v>всесезон</v>
      </c>
      <c r="J212" s="43" t="str">
        <f>'1C'!$AF$1</f>
        <v>American Needle</v>
      </c>
      <c r="K212" s="104" t="s">
        <v>819</v>
      </c>
      <c r="L212" s="59" t="str">
        <f>IF(K212&lt;&gt;"",IFERROR(VLOOKUP(A212,'1C'!A:T,8,0),IFERROR(VLOOKUP(K212,Colors!D:E,2,0),"")),"")</f>
        <v>черный</v>
      </c>
      <c r="M212" s="59" t="str">
        <f>IF(K212&lt;&gt;"",IFERROR(VLOOKUP(A212,'1C'!A:T,18,0),IFERROR(VLOOKUP(K212,Colors!D:E,2,0),"")),"")</f>
        <v>черный</v>
      </c>
      <c r="N212" s="147" t="str">
        <f>IF(A212&lt;&gt;"",_xlfn.XLOOKUP(A212,'1C'!A:A,'1C'!I:I,_xlfn.XLOOKUP(C212,'1C'!S:S,'1C'!I:I,"",0),0),"")</f>
        <v>100% хлопок</v>
      </c>
      <c r="P212" s="43" t="str">
        <f>IF(A212&lt;&gt;"",_xlfn.XLOOKUP(A212,'1C'!A:A,'1C'!N:N,_xlfn.XLOOKUP(C212,'1C'!S:S,'1C'!N:N,"",0),0),"")</f>
        <v>хлопковые</v>
      </c>
      <c r="Q212" s="59" t="s">
        <v>15</v>
      </c>
      <c r="R212" s="43" t="str">
        <f>IF(A212&lt;&gt;"",_xlfn.XLOOKUP(A212,'1C'!A:A,'1C'!K:K,_xlfn.XLOOKUP(C212,'1C'!S:S,'1C'!K:K,"",0),0),"")</f>
        <v>Унисекс</v>
      </c>
      <c r="S212" s="44">
        <v>52</v>
      </c>
      <c r="AQ212" s="59">
        <f t="shared" si="1"/>
        <v>52</v>
      </c>
      <c r="AR212" s="43" t="str">
        <f>IF(A212&lt;&gt;"",_xlfn.XLOOKUP(_xlfn.XLOOKUP(A212,'1C'!A:A,'1C'!O:O,_xlfn.XLOOKUP(C212,'1C'!S:S,'1C'!O:O,"",0),0),Settings!N:N,Settings!O:O,"",0),"")</f>
        <v>CN</v>
      </c>
      <c r="AS212" s="56" t="str">
        <f ca="1">IF(BA212&gt;0,_xlfn.XLOOKUP(A212,'1C'!$A:$A,'1C'!P:P,"",0,),IF(AR212&lt;&gt;"",VLOOKUP(AR212,INDIRECT(SUBSTITUTE($J212," ","")&amp;"Manufactures"),3,0),"Требуется код страны"))</f>
        <v>American Needle, Inc; 1275 Busch Parkway, Buffalo Grove, IL 60089, USA</v>
      </c>
      <c r="AT212" s="56" t="str">
        <f ca="1">IF(BA212&gt;0,_xlfn.XLOOKUP(A212,'1C'!$A:$A,'1C'!O:O,"",0),IF(AR212&lt;&gt;"",VLOOKUP(AR212,INDIRECT(SUBSTITUTE($J212," ","")&amp;"Manufactures"),2,0),"Требуется код страны"))</f>
        <v>Китай</v>
      </c>
      <c r="AU212" s="76">
        <f t="shared" si="2"/>
        <v>0.1</v>
      </c>
      <c r="AV212" s="43">
        <f t="shared" si="3"/>
        <v>0.15000000000000002</v>
      </c>
      <c r="AW212" s="43">
        <f t="shared" si="4"/>
        <v>5.2</v>
      </c>
      <c r="AX212" s="43">
        <f t="shared" si="5"/>
        <v>7.8000000000000007</v>
      </c>
      <c r="AY212" s="155">
        <v>6.8000000000000007</v>
      </c>
      <c r="AZ212" s="156">
        <f t="shared" si="6"/>
        <v>353.6</v>
      </c>
      <c r="BA212" s="45">
        <f>IF(A212&lt;&gt;"",IF(_xlfn.XLOOKUP(A212,'1C'!A:A,'1C'!A:A,0,0)&gt;0,1,0),"")</f>
        <v>1</v>
      </c>
      <c r="BB212" s="150">
        <f>IF(C212&lt;&gt;"",IF(_xlfn.XLOOKUP(C212,'1C'!S:S,'1C'!S:S,0,0)&gt;0,0,1),"")</f>
        <v>0</v>
      </c>
      <c r="BC212" s="45">
        <f t="shared" si="7"/>
        <v>0</v>
      </c>
    </row>
    <row r="213" spans="1:55" ht="132.94999999999999" customHeight="1">
      <c r="A213" s="43" t="str">
        <f t="shared" si="0"/>
        <v>45020A-AMERlight olive</v>
      </c>
      <c r="B213" s="45" t="str">
        <f>IF(C213&lt;&gt;"",_xlfn.XLOOKUP(A213,'1C'!A:A,'1C'!B:B,MID(_xlfn.XLOOKUP(C213,'1C'!S:S,'1C'!B:B,"new",0),1,7)&amp;IF(BC213=1,IF(L213&lt;&gt;"",_xlfn.XLOOKUP(L213,Colors!A:A,Colors!B:B,"new",0),"требуется цвет"),""),0))</f>
        <v>06-328-03</v>
      </c>
      <c r="C213" s="44" t="s">
        <v>2249</v>
      </c>
      <c r="D213" s="43" t="str">
        <f>IF(A213&lt;&gt;"",_xlfn.XLOOKUP(C213,'1C'!S:S,'1C'!T:T,"",0),"")</f>
        <v>Americana Conrad</v>
      </c>
      <c r="E213" s="43" t="str">
        <f>IF(F213&lt;&gt;"",IFERROR(VLOOKUP(F213,Категории!A:B,2,0),""),"Требуется категория")</f>
        <v>Бейсболки</v>
      </c>
      <c r="F213" s="43" t="str">
        <f>IF(A213&lt;&gt;"",IF(BA213&gt;0,_xlfn.XLOOKUP(A213,'1C'!A:A,'1C'!J:J,"",0),_xlfn.XLOOKUP(C213,'1C'!S:S,'1C'!J:J,"",0)),"")</f>
        <v>Бейсболка</v>
      </c>
      <c r="G213" s="43" t="str">
        <f>IF(C213&lt;&gt;"",IF(BA213&gt;0,_xlfn.XLOOKUP(A213,'1C'!A:A,'1C'!L:L,"",0),_xlfn.XLOOKUP(C213,'1C'!S:S,'1C'!L:L,"",0)),"")</f>
        <v>State</v>
      </c>
      <c r="H213" s="43" t="str">
        <f>IF(A213&lt;&gt;"",_xlfn.XLOOKUP(A213,'1C'!A:A,'1C'!M:M,_xlfn.XLOOKUP(C213,'1C'!S:S,'1C'!M:M,"",0),0))</f>
        <v>всесезон</v>
      </c>
      <c r="J213" s="43" t="str">
        <f>'1C'!$AF$1</f>
        <v>American Needle</v>
      </c>
      <c r="K213" s="104" t="s">
        <v>2299</v>
      </c>
      <c r="L213" s="58" t="s">
        <v>195</v>
      </c>
      <c r="N213" s="147" t="str">
        <f>IF(A213&lt;&gt;"",_xlfn.XLOOKUP(A213,'1C'!A:A,'1C'!I:I,_xlfn.XLOOKUP(C213,'1C'!S:S,'1C'!I:I,"",0),0),"")</f>
        <v>100% хлопок</v>
      </c>
      <c r="P213" s="43" t="str">
        <f>IF(A213&lt;&gt;"",_xlfn.XLOOKUP(A213,'1C'!A:A,'1C'!N:N,_xlfn.XLOOKUP(C213,'1C'!S:S,'1C'!N:N,"",0),0),"")</f>
        <v>хлопковые</v>
      </c>
      <c r="Q213" s="59" t="s">
        <v>15</v>
      </c>
      <c r="R213" s="43" t="str">
        <f>IF(A213&lt;&gt;"",_xlfn.XLOOKUP(A213,'1C'!A:A,'1C'!K:K,_xlfn.XLOOKUP(C213,'1C'!S:S,'1C'!K:K,"",0),0),"")</f>
        <v>Унисекс</v>
      </c>
      <c r="S213" s="44">
        <v>24</v>
      </c>
      <c r="AQ213" s="59">
        <f t="shared" si="1"/>
        <v>24</v>
      </c>
      <c r="AR213" s="43" t="str">
        <f>IF(A213&lt;&gt;"",_xlfn.XLOOKUP(_xlfn.XLOOKUP(A213,'1C'!A:A,'1C'!O:O,_xlfn.XLOOKUP(C213,'1C'!S:S,'1C'!O:O,"",0),0),Settings!N:N,Settings!O:O,"",0),"")</f>
        <v>CN</v>
      </c>
      <c r="AS213" s="56" t="str">
        <f ca="1">IF(BA213&gt;0,_xlfn.XLOOKUP(A213,'1C'!$A:$A,'1C'!P:P,"",0,),IF(AR213&lt;&gt;"",VLOOKUP(AR213,INDIRECT(SUBSTITUTE($J213," ","")&amp;"Manufactures"),3,0),"Требуется код страны"))</f>
        <v>American Needle, Inc; 1275 Busch Parkway, Buffalo Grove, IL 60089, USA</v>
      </c>
      <c r="AT213" s="56" t="str">
        <f ca="1">IF(BA213&gt;0,_xlfn.XLOOKUP(A213,'1C'!$A:$A,'1C'!O:O,"",0),IF(AR213&lt;&gt;"",VLOOKUP(AR213,INDIRECT(SUBSTITUTE($J213," ","")&amp;"Manufactures"),2,0),"Требуется код страны"))</f>
        <v>Китай</v>
      </c>
      <c r="AU213" s="76">
        <f t="shared" si="2"/>
        <v>0.1</v>
      </c>
      <c r="AV213" s="43">
        <f t="shared" si="3"/>
        <v>0.15000000000000002</v>
      </c>
      <c r="AW213" s="43">
        <f t="shared" si="4"/>
        <v>2.4000000000000004</v>
      </c>
      <c r="AX213" s="43">
        <f t="shared" si="5"/>
        <v>3.6000000000000005</v>
      </c>
      <c r="AY213" s="155">
        <v>6.8</v>
      </c>
      <c r="AZ213" s="156">
        <f t="shared" si="6"/>
        <v>163.19999999999999</v>
      </c>
      <c r="BA213" s="45">
        <f>IF(A213&lt;&gt;"",IF(_xlfn.XLOOKUP(A213,'1C'!A:A,'1C'!A:A,0,0)&gt;0,1,0),"")</f>
        <v>0</v>
      </c>
      <c r="BB213" s="150">
        <f>IF(C213&lt;&gt;"",IF(_xlfn.XLOOKUP(C213,'1C'!S:S,'1C'!S:S,0,0)&gt;0,0,1),"")</f>
        <v>0</v>
      </c>
      <c r="BC213" s="45">
        <f t="shared" si="7"/>
        <v>1</v>
      </c>
    </row>
    <row r="214" spans="1:55" ht="133.69999999999999" customHeight="1">
      <c r="A214" s="43" t="str">
        <f t="shared" si="0"/>
        <v>45020A-AMERnavy</v>
      </c>
      <c r="B214" s="45" t="str">
        <f>IF(C214&lt;&gt;"",_xlfn.XLOOKUP(A214,'1C'!A:A,'1C'!B:B,MID(_xlfn.XLOOKUP(C214,'1C'!S:S,'1C'!B:B,"new",0),1,7)&amp;IF(BC214=1,IF(L214&lt;&gt;"",_xlfn.XLOOKUP(L214,Colors!A:A,Colors!B:B,"new",0),"требуется цвет"),""),0))</f>
        <v>06-328-16</v>
      </c>
      <c r="C214" s="44" t="s">
        <v>2249</v>
      </c>
      <c r="D214" s="43" t="str">
        <f>IF(A214&lt;&gt;"",_xlfn.XLOOKUP(C214,'1C'!S:S,'1C'!T:T,"",0),"")</f>
        <v>Americana Conrad</v>
      </c>
      <c r="E214" s="43" t="str">
        <f>IF(F214&lt;&gt;"",IFERROR(VLOOKUP(F214,Категории!A:B,2,0),""),"Требуется категория")</f>
        <v>Бейсболки</v>
      </c>
      <c r="F214" s="43" t="str">
        <f>IF(A214&lt;&gt;"",IF(BA214&gt;0,_xlfn.XLOOKUP(A214,'1C'!A:A,'1C'!J:J,"",0),_xlfn.XLOOKUP(C214,'1C'!S:S,'1C'!J:J,"",0)),"")</f>
        <v>Бейсболка</v>
      </c>
      <c r="G214" s="43" t="str">
        <f>IF(C214&lt;&gt;"",IF(BA214&gt;0,_xlfn.XLOOKUP(A214,'1C'!A:A,'1C'!L:L,"",0),_xlfn.XLOOKUP(C214,'1C'!S:S,'1C'!L:L,"",0)),"")</f>
        <v>State</v>
      </c>
      <c r="H214" s="43" t="str">
        <f>IF(A214&lt;&gt;"",_xlfn.XLOOKUP(A214,'1C'!A:A,'1C'!M:M,_xlfn.XLOOKUP(C214,'1C'!S:S,'1C'!M:M,"",0),0))</f>
        <v>всесезон</v>
      </c>
      <c r="J214" s="43" t="str">
        <f>'1C'!$AF$1</f>
        <v>American Needle</v>
      </c>
      <c r="K214" s="104" t="s">
        <v>818</v>
      </c>
      <c r="L214" s="59" t="str">
        <f>IF(K214&lt;&gt;"",IFERROR(VLOOKUP(A214,'1C'!A:T,8,0),IFERROR(VLOOKUP(K214,Colors!D:E,2,0),"")),"")</f>
        <v>темно-синий</v>
      </c>
      <c r="M214" s="59" t="str">
        <f>IF(K214&lt;&gt;"",IFERROR(VLOOKUP(A214,'1C'!A:T,18,0),IFERROR(VLOOKUP(K214,Colors!D:E,2,0),"")),"")</f>
        <v>синий</v>
      </c>
      <c r="N214" s="147" t="str">
        <f>IF(A214&lt;&gt;"",_xlfn.XLOOKUP(A214,'1C'!A:A,'1C'!I:I,_xlfn.XLOOKUP(C214,'1C'!S:S,'1C'!I:I,"",0),0),"")</f>
        <v>100% хлопок</v>
      </c>
      <c r="P214" s="43" t="str">
        <f>IF(A214&lt;&gt;"",_xlfn.XLOOKUP(A214,'1C'!A:A,'1C'!N:N,_xlfn.XLOOKUP(C214,'1C'!S:S,'1C'!N:N,"",0),0),"")</f>
        <v>хлопковые</v>
      </c>
      <c r="Q214" s="59" t="s">
        <v>15</v>
      </c>
      <c r="R214" s="43" t="str">
        <f>IF(A214&lt;&gt;"",_xlfn.XLOOKUP(A214,'1C'!A:A,'1C'!K:K,_xlfn.XLOOKUP(C214,'1C'!S:S,'1C'!K:K,"",0),0),"")</f>
        <v>Унисекс</v>
      </c>
      <c r="S214" s="44">
        <v>17</v>
      </c>
      <c r="AQ214" s="59">
        <f t="shared" si="1"/>
        <v>17</v>
      </c>
      <c r="AR214" s="43" t="str">
        <f>IF(A214&lt;&gt;"",_xlfn.XLOOKUP(_xlfn.XLOOKUP(A214,'1C'!A:A,'1C'!O:O,_xlfn.XLOOKUP(C214,'1C'!S:S,'1C'!O:O,"",0),0),Settings!N:N,Settings!O:O,"",0),"")</f>
        <v>CN</v>
      </c>
      <c r="AS214" s="56" t="str">
        <f ca="1">IF(BA214&gt;0,_xlfn.XLOOKUP(A214,'1C'!$A:$A,'1C'!P:P,"",0,),IF(AR214&lt;&gt;"",VLOOKUP(AR214,INDIRECT(SUBSTITUTE($J214," ","")&amp;"Manufactures"),3,0),"Требуется код страны"))</f>
        <v>American Needle, Inc; 1275 Busch Parkway, Buffalo Grove, IL 60089, USA</v>
      </c>
      <c r="AT214" s="56" t="str">
        <f ca="1">IF(BA214&gt;0,_xlfn.XLOOKUP(A214,'1C'!$A:$A,'1C'!O:O,"",0),IF(AR214&lt;&gt;"",VLOOKUP(AR214,INDIRECT(SUBSTITUTE($J214," ","")&amp;"Manufactures"),2,0),"Требуется код страны"))</f>
        <v>Китай</v>
      </c>
      <c r="AU214" s="76">
        <f t="shared" si="2"/>
        <v>0.1</v>
      </c>
      <c r="AV214" s="43">
        <f t="shared" si="3"/>
        <v>0.15000000000000002</v>
      </c>
      <c r="AW214" s="43">
        <f t="shared" si="4"/>
        <v>1.7000000000000002</v>
      </c>
      <c r="AX214" s="43">
        <f t="shared" si="5"/>
        <v>2.5500000000000003</v>
      </c>
      <c r="AY214" s="155">
        <v>6.8</v>
      </c>
      <c r="AZ214" s="156">
        <f t="shared" si="6"/>
        <v>115.6</v>
      </c>
      <c r="BA214" s="45">
        <f>IF(A214&lt;&gt;"",IF(_xlfn.XLOOKUP(A214,'1C'!A:A,'1C'!A:A,0,0)&gt;0,1,0),"")</f>
        <v>1</v>
      </c>
      <c r="BB214" s="150">
        <f>IF(C214&lt;&gt;"",IF(_xlfn.XLOOKUP(C214,'1C'!S:S,'1C'!S:S,0,0)&gt;0,0,1),"")</f>
        <v>0</v>
      </c>
      <c r="BC214" s="45">
        <f t="shared" si="7"/>
        <v>0</v>
      </c>
    </row>
    <row r="215" spans="1:55" ht="129.75" customHeight="1">
      <c r="A215" s="43" t="str">
        <f t="shared" si="0"/>
        <v>45020A-CALIblk</v>
      </c>
      <c r="B215" s="45" t="str">
        <f>IF(C215&lt;&gt;"",_xlfn.XLOOKUP(A215,'1C'!A:A,'1C'!B:B,MID(_xlfn.XLOOKUP(C215,'1C'!S:S,'1C'!B:B,"new",0),1,7)&amp;IF(BC215=1,IF(L215&lt;&gt;"",_xlfn.XLOOKUP(L215,Colors!A:A,Colors!B:B,"new",0),"требуется цвет"),""),0))</f>
        <v>06-112-09</v>
      </c>
      <c r="C215" s="44" t="s">
        <v>2250</v>
      </c>
      <c r="D215" s="43" t="str">
        <f>IF(A215&lt;&gt;"",_xlfn.XLOOKUP(C215,'1C'!S:S,'1C'!T:T,"",0),"")</f>
        <v>California Conrad</v>
      </c>
      <c r="E215" s="43" t="str">
        <f>IF(F215&lt;&gt;"",IFERROR(VLOOKUP(F215,Категории!A:B,2,0),""),"Требуется категория")</f>
        <v>Бейсболки</v>
      </c>
      <c r="F215" s="43" t="str">
        <f>IF(A215&lt;&gt;"",IF(BA215&gt;0,_xlfn.XLOOKUP(A215,'1C'!A:A,'1C'!J:J,"",0),_xlfn.XLOOKUP(C215,'1C'!S:S,'1C'!J:J,"",0)),"")</f>
        <v>Бейсболка</v>
      </c>
      <c r="G215" s="43" t="str">
        <f>IF(C215&lt;&gt;"",IF(BA215&gt;0,_xlfn.XLOOKUP(A215,'1C'!A:A,'1C'!L:L,"",0),_xlfn.XLOOKUP(C215,'1C'!S:S,'1C'!L:L,"",0)),"")</f>
        <v>State</v>
      </c>
      <c r="H215" s="43" t="str">
        <f>IF(A215&lt;&gt;"",_xlfn.XLOOKUP(A215,'1C'!A:A,'1C'!M:M,_xlfn.XLOOKUP(C215,'1C'!S:S,'1C'!M:M,"",0),0))</f>
        <v>всесезон</v>
      </c>
      <c r="J215" s="43" t="str">
        <f>'1C'!$AF$1</f>
        <v>American Needle</v>
      </c>
      <c r="K215" s="104" t="s">
        <v>843</v>
      </c>
      <c r="L215" s="59" t="str">
        <f>IF(K215&lt;&gt;"",IFERROR(VLOOKUP(A215,'1C'!A:T,8,0),IFERROR(VLOOKUP(K215,Colors!D:E,2,0),"")),"")</f>
        <v>черный</v>
      </c>
      <c r="M215" s="59" t="str">
        <f>IF(K215&lt;&gt;"",IFERROR(VLOOKUP(A215,'1C'!A:T,18,0),IFERROR(VLOOKUP(K215,Colors!D:E,2,0),"")),"")</f>
        <v>черный</v>
      </c>
      <c r="N215" s="147" t="str">
        <f>IF(A215&lt;&gt;"",_xlfn.XLOOKUP(A215,'1C'!A:A,'1C'!I:I,_xlfn.XLOOKUP(C215,'1C'!S:S,'1C'!I:I,"",0),0),"")</f>
        <v>100% хлопок</v>
      </c>
      <c r="P215" s="43" t="str">
        <f>IF(A215&lt;&gt;"",_xlfn.XLOOKUP(A215,'1C'!A:A,'1C'!N:N,_xlfn.XLOOKUP(C215,'1C'!S:S,'1C'!N:N,"",0),0),"")</f>
        <v>хлопковые</v>
      </c>
      <c r="Q215" s="59" t="s">
        <v>15</v>
      </c>
      <c r="R215" s="43" t="str">
        <f>IF(A215&lt;&gt;"",_xlfn.XLOOKUP(A215,'1C'!A:A,'1C'!K:K,_xlfn.XLOOKUP(C215,'1C'!S:S,'1C'!K:K,"",0),0),"")</f>
        <v>Унисекс</v>
      </c>
      <c r="S215" s="44">
        <v>22</v>
      </c>
      <c r="AQ215" s="59">
        <f t="shared" si="1"/>
        <v>22</v>
      </c>
      <c r="AR215" s="43" t="str">
        <f>IF(A215&lt;&gt;"",_xlfn.XLOOKUP(_xlfn.XLOOKUP(A215,'1C'!A:A,'1C'!O:O,_xlfn.XLOOKUP(C215,'1C'!S:S,'1C'!O:O,"",0),0),Settings!N:N,Settings!O:O,"",0),"")</f>
        <v>CN</v>
      </c>
      <c r="AS215" s="56" t="str">
        <f ca="1">IF(BA215&gt;0,_xlfn.XLOOKUP(A215,'1C'!$A:$A,'1C'!P:P,"",0,),IF(AR215&lt;&gt;"",VLOOKUP(AR215,INDIRECT(SUBSTITUTE($J215," ","")&amp;"Manufactures"),3,0),"Требуется код страны"))</f>
        <v>American Needle, Inc; 1275 Busch Parkway, Buffalo Grove, IL 60089, USA</v>
      </c>
      <c r="AT215" s="56" t="str">
        <f ca="1">IF(BA215&gt;0,_xlfn.XLOOKUP(A215,'1C'!$A:$A,'1C'!O:O,"",0),IF(AR215&lt;&gt;"",VLOOKUP(AR215,INDIRECT(SUBSTITUTE($J215," ","")&amp;"Manufactures"),2,0),"Требуется код страны"))</f>
        <v>Китай</v>
      </c>
      <c r="AU215" s="76">
        <f t="shared" si="2"/>
        <v>0.1</v>
      </c>
      <c r="AV215" s="43">
        <f t="shared" si="3"/>
        <v>0.15000000000000002</v>
      </c>
      <c r="AW215" s="43">
        <f t="shared" si="4"/>
        <v>2.2000000000000002</v>
      </c>
      <c r="AX215" s="43">
        <f t="shared" si="5"/>
        <v>3.3000000000000007</v>
      </c>
      <c r="AY215" s="155">
        <v>6.8</v>
      </c>
      <c r="AZ215" s="156">
        <f t="shared" si="6"/>
        <v>149.6</v>
      </c>
      <c r="BA215" s="45">
        <f>IF(A215&lt;&gt;"",IF(_xlfn.XLOOKUP(A215,'1C'!A:A,'1C'!A:A,0,0)&gt;0,1,0),"")</f>
        <v>1</v>
      </c>
      <c r="BB215" s="150">
        <f>IF(C215&lt;&gt;"",IF(_xlfn.XLOOKUP(C215,'1C'!S:S,'1C'!S:S,0,0)&gt;0,0,1),"")</f>
        <v>0</v>
      </c>
      <c r="BC215" s="45">
        <f t="shared" si="7"/>
        <v>0</v>
      </c>
    </row>
    <row r="216" spans="1:55" ht="132" customHeight="1">
      <c r="A216" s="43" t="str">
        <f t="shared" si="0"/>
        <v>45020A-CALIlight olive</v>
      </c>
      <c r="B216" s="45" t="str">
        <f>IF(C216&lt;&gt;"",_xlfn.XLOOKUP(A216,'1C'!A:A,'1C'!B:B,MID(_xlfn.XLOOKUP(C216,'1C'!S:S,'1C'!B:B,"new",0),1,7)&amp;IF(BC216=1,IF(L216&lt;&gt;"",_xlfn.XLOOKUP(L216,Colors!A:A,Colors!B:B,"new",0),"требуется цвет"),""),0))</f>
        <v>06-112-03</v>
      </c>
      <c r="C216" s="44" t="s">
        <v>2250</v>
      </c>
      <c r="D216" s="43" t="str">
        <f>IF(A216&lt;&gt;"",_xlfn.XLOOKUP(C216,'1C'!S:S,'1C'!T:T,"",0),"")</f>
        <v>California Conrad</v>
      </c>
      <c r="E216" s="43" t="str">
        <f>IF(F216&lt;&gt;"",IFERROR(VLOOKUP(F216,Категории!A:B,2,0),""),"Требуется категория")</f>
        <v>Бейсболки</v>
      </c>
      <c r="F216" s="43" t="str">
        <f>IF(A216&lt;&gt;"",IF(BA216&gt;0,_xlfn.XLOOKUP(A216,'1C'!A:A,'1C'!J:J,"",0),_xlfn.XLOOKUP(C216,'1C'!S:S,'1C'!J:J,"",0)),"")</f>
        <v>Бейсболка</v>
      </c>
      <c r="G216" s="43" t="str">
        <f>IF(C216&lt;&gt;"",IF(BA216&gt;0,_xlfn.XLOOKUP(A216,'1C'!A:A,'1C'!L:L,"",0),_xlfn.XLOOKUP(C216,'1C'!S:S,'1C'!L:L,"",0)),"")</f>
        <v>State</v>
      </c>
      <c r="H216" s="43" t="str">
        <f>IF(A216&lt;&gt;"",_xlfn.XLOOKUP(A216,'1C'!A:A,'1C'!M:M,_xlfn.XLOOKUP(C216,'1C'!S:S,'1C'!M:M,"",0),0))</f>
        <v>всесезон</v>
      </c>
      <c r="J216" s="43" t="str">
        <f>'1C'!$AF$1</f>
        <v>American Needle</v>
      </c>
      <c r="K216" s="104" t="s">
        <v>2299</v>
      </c>
      <c r="L216" s="58" t="s">
        <v>195</v>
      </c>
      <c r="M216" s="58" t="s">
        <v>195</v>
      </c>
      <c r="N216" s="147" t="str">
        <f>IF(A216&lt;&gt;"",_xlfn.XLOOKUP(A216,'1C'!A:A,'1C'!I:I,_xlfn.XLOOKUP(C216,'1C'!S:S,'1C'!I:I,"",0),0),"")</f>
        <v>100% хлопок</v>
      </c>
      <c r="P216" s="43" t="str">
        <f>IF(A216&lt;&gt;"",_xlfn.XLOOKUP(A216,'1C'!A:A,'1C'!N:N,_xlfn.XLOOKUP(C216,'1C'!S:S,'1C'!N:N,"",0),0),"")</f>
        <v>хлопковые</v>
      </c>
      <c r="Q216" s="59" t="s">
        <v>15</v>
      </c>
      <c r="R216" s="43" t="str">
        <f>IF(A216&lt;&gt;"",_xlfn.XLOOKUP(A216,'1C'!A:A,'1C'!K:K,_xlfn.XLOOKUP(C216,'1C'!S:S,'1C'!K:K,"",0),0),"")</f>
        <v>Унисекс</v>
      </c>
      <c r="S216" s="44">
        <v>23</v>
      </c>
      <c r="AQ216" s="59">
        <f t="shared" si="1"/>
        <v>23</v>
      </c>
      <c r="AR216" s="43" t="str">
        <f>IF(A216&lt;&gt;"",_xlfn.XLOOKUP(_xlfn.XLOOKUP(A216,'1C'!A:A,'1C'!O:O,_xlfn.XLOOKUP(C216,'1C'!S:S,'1C'!O:O,"",0),0),Settings!N:N,Settings!O:O,"",0),"")</f>
        <v>CN</v>
      </c>
      <c r="AS216" s="56" t="str">
        <f ca="1">IF(BA216&gt;0,_xlfn.XLOOKUP(A216,'1C'!$A:$A,'1C'!P:P,"",0,),IF(AR216&lt;&gt;"",VLOOKUP(AR216,INDIRECT(SUBSTITUTE($J216," ","")&amp;"Manufactures"),3,0),"Требуется код страны"))</f>
        <v>American Needle, Inc; 1275 Busch Parkway, Buffalo Grove, IL 60089, USA</v>
      </c>
      <c r="AT216" s="56" t="str">
        <f ca="1">IF(BA216&gt;0,_xlfn.XLOOKUP(A216,'1C'!$A:$A,'1C'!O:O,"",0),IF(AR216&lt;&gt;"",VLOOKUP(AR216,INDIRECT(SUBSTITUTE($J216," ","")&amp;"Manufactures"),2,0),"Требуется код страны"))</f>
        <v>Китай</v>
      </c>
      <c r="AU216" s="76">
        <f t="shared" si="2"/>
        <v>0.1</v>
      </c>
      <c r="AV216" s="43">
        <f t="shared" si="3"/>
        <v>0.15000000000000002</v>
      </c>
      <c r="AW216" s="43">
        <f t="shared" si="4"/>
        <v>2.3000000000000003</v>
      </c>
      <c r="AX216" s="43">
        <f t="shared" si="5"/>
        <v>3.4500000000000006</v>
      </c>
      <c r="AY216" s="155">
        <v>6.8</v>
      </c>
      <c r="AZ216" s="156">
        <f t="shared" si="6"/>
        <v>156.4</v>
      </c>
      <c r="BA216" s="45">
        <f>IF(A216&lt;&gt;"",IF(_xlfn.XLOOKUP(A216,'1C'!A:A,'1C'!A:A,0,0)&gt;0,1,0),"")</f>
        <v>0</v>
      </c>
      <c r="BB216" s="150">
        <f>IF(C216&lt;&gt;"",IF(_xlfn.XLOOKUP(C216,'1C'!S:S,'1C'!S:S,0,0)&gt;0,0,1),"")</f>
        <v>0</v>
      </c>
      <c r="BC216" s="45">
        <f t="shared" si="7"/>
        <v>1</v>
      </c>
    </row>
    <row r="217" spans="1:55" ht="127.5" customHeight="1">
      <c r="A217" s="43" t="str">
        <f t="shared" si="0"/>
        <v>45020A-USAblack</v>
      </c>
      <c r="B217" s="45" t="str">
        <f>IF(C217&lt;&gt;"",_xlfn.XLOOKUP(A217,'1C'!A:A,'1C'!B:B,MID(_xlfn.XLOOKUP(C217,'1C'!S:S,'1C'!B:B,"new",0),1,7)&amp;IF(BC217=1,IF(L217&lt;&gt;"",_xlfn.XLOOKUP(L217,Colors!A:A,Colors!B:B,"new",0),"требуется цвет"),""),0))</f>
        <v>06-329-09</v>
      </c>
      <c r="C217" s="44" t="s">
        <v>2251</v>
      </c>
      <c r="D217" s="43" t="str">
        <f>IF(A217&lt;&gt;"",_xlfn.XLOOKUP(C217,'1C'!S:S,'1C'!T:T,"",0),"")</f>
        <v>United States Conrad</v>
      </c>
      <c r="E217" s="43" t="str">
        <f>IF(F217&lt;&gt;"",IFERROR(VLOOKUP(F217,Категории!A:B,2,0),""),"Требуется категория")</f>
        <v>Бейсболки</v>
      </c>
      <c r="F217" s="43" t="str">
        <f>IF(A217&lt;&gt;"",IF(BA217&gt;0,_xlfn.XLOOKUP(A217,'1C'!A:A,'1C'!J:J,"",0),_xlfn.XLOOKUP(C217,'1C'!S:S,'1C'!J:J,"",0)),"")</f>
        <v>Бейсболка</v>
      </c>
      <c r="G217" s="43" t="str">
        <f>IF(C217&lt;&gt;"",IF(BA217&gt;0,_xlfn.XLOOKUP(A217,'1C'!A:A,'1C'!L:L,"",0),_xlfn.XLOOKUP(C217,'1C'!S:S,'1C'!L:L,"",0)),"")</f>
        <v>State</v>
      </c>
      <c r="H217" s="43" t="str">
        <f>IF(A217&lt;&gt;"",_xlfn.XLOOKUP(A217,'1C'!A:A,'1C'!M:M,_xlfn.XLOOKUP(C217,'1C'!S:S,'1C'!M:M,"",0),0))</f>
        <v>всесезон</v>
      </c>
      <c r="J217" s="43" t="str">
        <f>'1C'!$AF$1</f>
        <v>American Needle</v>
      </c>
      <c r="K217" s="104" t="s">
        <v>819</v>
      </c>
      <c r="L217" s="59" t="str">
        <f>IF(K217&lt;&gt;"",IFERROR(VLOOKUP(A217,'1C'!A:T,8,0),IFERROR(VLOOKUP(K217,Colors!D:E,2,0),"")),"")</f>
        <v>черный</v>
      </c>
      <c r="M217" s="59" t="str">
        <f>IF(K217&lt;&gt;"",IFERROR(VLOOKUP(A217,'1C'!A:T,18,0),IFERROR(VLOOKUP(K217,Colors!D:E,2,0),"")),"")</f>
        <v>черный</v>
      </c>
      <c r="N217" s="147" t="str">
        <f>IF(A217&lt;&gt;"",_xlfn.XLOOKUP(A217,'1C'!A:A,'1C'!I:I,_xlfn.XLOOKUP(C217,'1C'!S:S,'1C'!I:I,"",0),0),"")</f>
        <v>100% хлопок</v>
      </c>
      <c r="P217" s="43" t="str">
        <f>IF(A217&lt;&gt;"",_xlfn.XLOOKUP(A217,'1C'!A:A,'1C'!N:N,_xlfn.XLOOKUP(C217,'1C'!S:S,'1C'!N:N,"",0),0),"")</f>
        <v>хлопковые</v>
      </c>
      <c r="Q217" s="59" t="s">
        <v>15</v>
      </c>
      <c r="R217" s="43" t="str">
        <f>IF(A217&lt;&gt;"",_xlfn.XLOOKUP(A217,'1C'!A:A,'1C'!K:K,_xlfn.XLOOKUP(C217,'1C'!S:S,'1C'!K:K,"",0),0),"")</f>
        <v>Унисекс</v>
      </c>
      <c r="S217" s="44">
        <v>58</v>
      </c>
      <c r="AQ217" s="59">
        <f t="shared" si="1"/>
        <v>58</v>
      </c>
      <c r="AR217" s="43" t="str">
        <f>IF(A217&lt;&gt;"",_xlfn.XLOOKUP(_xlfn.XLOOKUP(A217,'1C'!A:A,'1C'!O:O,_xlfn.XLOOKUP(C217,'1C'!S:S,'1C'!O:O,"",0),0),Settings!N:N,Settings!O:O,"",0),"")</f>
        <v>CN</v>
      </c>
      <c r="AS217" s="56" t="str">
        <f ca="1">IF(BA217&gt;0,_xlfn.XLOOKUP(A217,'1C'!$A:$A,'1C'!P:P,"",0,),IF(AR217&lt;&gt;"",VLOOKUP(AR217,INDIRECT(SUBSTITUTE($J217," ","")&amp;"Manufactures"),3,0),"Требуется код страны"))</f>
        <v>American Needle, Inc; 1275 Busch Parkway, Buffalo Grove, IL 60089, USA</v>
      </c>
      <c r="AT217" s="56" t="str">
        <f ca="1">IF(BA217&gt;0,_xlfn.XLOOKUP(A217,'1C'!$A:$A,'1C'!O:O,"",0),IF(AR217&lt;&gt;"",VLOOKUP(AR217,INDIRECT(SUBSTITUTE($J217," ","")&amp;"Manufactures"),2,0),"Требуется код страны"))</f>
        <v>Китай</v>
      </c>
      <c r="AU217" s="76">
        <f t="shared" si="2"/>
        <v>0.1</v>
      </c>
      <c r="AV217" s="43">
        <f t="shared" si="3"/>
        <v>0.15000000000000002</v>
      </c>
      <c r="AW217" s="43">
        <f t="shared" si="4"/>
        <v>5.8000000000000007</v>
      </c>
      <c r="AX217" s="43">
        <f t="shared" si="5"/>
        <v>8.7000000000000011</v>
      </c>
      <c r="AY217" s="155">
        <v>6.8</v>
      </c>
      <c r="AZ217" s="156">
        <f t="shared" si="6"/>
        <v>394.4</v>
      </c>
      <c r="BA217" s="45">
        <f>IF(A217&lt;&gt;"",IF(_xlfn.XLOOKUP(A217,'1C'!A:A,'1C'!A:A,0,0)&gt;0,1,0),"")</f>
        <v>1</v>
      </c>
      <c r="BB217" s="150">
        <f>IF(C217&lt;&gt;"",IF(_xlfn.XLOOKUP(C217,'1C'!S:S,'1C'!S:S,0,0)&gt;0,0,1),"")</f>
        <v>0</v>
      </c>
      <c r="BC217" s="45">
        <f t="shared" si="7"/>
        <v>0</v>
      </c>
    </row>
    <row r="218" spans="1:55" ht="119.65" customHeight="1">
      <c r="A218" s="43" t="str">
        <f t="shared" si="0"/>
        <v>45020A-USAlight olive</v>
      </c>
      <c r="B218" s="45" t="str">
        <f>IF(C218&lt;&gt;"",_xlfn.XLOOKUP(A218,'1C'!A:A,'1C'!B:B,MID(_xlfn.XLOOKUP(C218,'1C'!S:S,'1C'!B:B,"new",0),1,7)&amp;IF(BC218=1,IF(L218&lt;&gt;"",_xlfn.XLOOKUP(L218,Colors!A:A,Colors!B:B,"new",0),"требуется цвет"),""),0))</f>
        <v>06-329-03</v>
      </c>
      <c r="C218" s="44" t="s">
        <v>2251</v>
      </c>
      <c r="D218" s="43" t="str">
        <f>IF(A218&lt;&gt;"",_xlfn.XLOOKUP(C218,'1C'!S:S,'1C'!T:T,"",0),"")</f>
        <v>United States Conrad</v>
      </c>
      <c r="E218" s="43" t="str">
        <f>IF(F218&lt;&gt;"",IFERROR(VLOOKUP(F218,Категории!A:B,2,0),""),"Требуется категория")</f>
        <v>Бейсболки</v>
      </c>
      <c r="F218" s="43" t="str">
        <f>IF(A218&lt;&gt;"",IF(BA218&gt;0,_xlfn.XLOOKUP(A218,'1C'!A:A,'1C'!J:J,"",0),_xlfn.XLOOKUP(C218,'1C'!S:S,'1C'!J:J,"",0)),"")</f>
        <v>Бейсболка</v>
      </c>
      <c r="G218" s="43" t="str">
        <f>IF(C218&lt;&gt;"",IF(BA218&gt;0,_xlfn.XLOOKUP(A218,'1C'!A:A,'1C'!L:L,"",0),_xlfn.XLOOKUP(C218,'1C'!S:S,'1C'!L:L,"",0)),"")</f>
        <v>State</v>
      </c>
      <c r="H218" s="43" t="str">
        <f>IF(A218&lt;&gt;"",_xlfn.XLOOKUP(A218,'1C'!A:A,'1C'!M:M,_xlfn.XLOOKUP(C218,'1C'!S:S,'1C'!M:M,"",0),0))</f>
        <v>всесезон</v>
      </c>
      <c r="J218" s="43" t="str">
        <f>'1C'!$AF$1</f>
        <v>American Needle</v>
      </c>
      <c r="K218" s="104" t="s">
        <v>2299</v>
      </c>
      <c r="L218" s="58" t="s">
        <v>195</v>
      </c>
      <c r="M218" s="58" t="s">
        <v>195</v>
      </c>
      <c r="N218" s="147" t="str">
        <f>IF(A218&lt;&gt;"",_xlfn.XLOOKUP(A218,'1C'!A:A,'1C'!I:I,_xlfn.XLOOKUP(C218,'1C'!S:S,'1C'!I:I,"",0),0),"")</f>
        <v>100% хлопок</v>
      </c>
      <c r="P218" s="43" t="str">
        <f>IF(A218&lt;&gt;"",_xlfn.XLOOKUP(A218,'1C'!A:A,'1C'!N:N,_xlfn.XLOOKUP(C218,'1C'!S:S,'1C'!N:N,"",0),0),"")</f>
        <v>хлопковые</v>
      </c>
      <c r="Q218" s="59" t="s">
        <v>15</v>
      </c>
      <c r="R218" s="43" t="str">
        <f>IF(A218&lt;&gt;"",_xlfn.XLOOKUP(A218,'1C'!A:A,'1C'!K:K,_xlfn.XLOOKUP(C218,'1C'!S:S,'1C'!K:K,"",0),0),"")</f>
        <v>Унисекс</v>
      </c>
      <c r="S218" s="44">
        <v>41</v>
      </c>
      <c r="AQ218" s="59">
        <f t="shared" si="1"/>
        <v>41</v>
      </c>
      <c r="AR218" s="43" t="str">
        <f>IF(A218&lt;&gt;"",_xlfn.XLOOKUP(_xlfn.XLOOKUP(A218,'1C'!A:A,'1C'!O:O,_xlfn.XLOOKUP(C218,'1C'!S:S,'1C'!O:O,"",0),0),Settings!N:N,Settings!O:O,"",0),"")</f>
        <v>CN</v>
      </c>
      <c r="AS218" s="56" t="str">
        <f ca="1">IF(BA218&gt;0,_xlfn.XLOOKUP(A218,'1C'!$A:$A,'1C'!P:P,"",0,),IF(AR218&lt;&gt;"",VLOOKUP(AR218,INDIRECT(SUBSTITUTE($J218," ","")&amp;"Manufactures"),3,0),"Требуется код страны"))</f>
        <v>American Needle, Inc; 1275 Busch Parkway, Buffalo Grove, IL 60089, USA</v>
      </c>
      <c r="AT218" s="56" t="str">
        <f ca="1">IF(BA218&gt;0,_xlfn.XLOOKUP(A218,'1C'!$A:$A,'1C'!O:O,"",0),IF(AR218&lt;&gt;"",VLOOKUP(AR218,INDIRECT(SUBSTITUTE($J218," ","")&amp;"Manufactures"),2,0),"Требуется код страны"))</f>
        <v>Китай</v>
      </c>
      <c r="AU218" s="76">
        <f t="shared" si="2"/>
        <v>0.1</v>
      </c>
      <c r="AV218" s="43">
        <f t="shared" si="3"/>
        <v>0.15000000000000002</v>
      </c>
      <c r="AW218" s="43">
        <f t="shared" si="4"/>
        <v>4.1000000000000005</v>
      </c>
      <c r="AX218" s="43">
        <f t="shared" si="5"/>
        <v>6.1500000000000012</v>
      </c>
      <c r="AY218" s="155">
        <v>6.8000000000000007</v>
      </c>
      <c r="AZ218" s="156">
        <f t="shared" si="6"/>
        <v>278.8</v>
      </c>
      <c r="BA218" s="45">
        <f>IF(A218&lt;&gt;"",IF(_xlfn.XLOOKUP(A218,'1C'!A:A,'1C'!A:A,0,0)&gt;0,1,0),"")</f>
        <v>0</v>
      </c>
      <c r="BB218" s="150">
        <f>IF(C218&lt;&gt;"",IF(_xlfn.XLOOKUP(C218,'1C'!S:S,'1C'!S:S,0,0)&gt;0,0,1),"")</f>
        <v>0</v>
      </c>
      <c r="BC218" s="45">
        <f t="shared" si="7"/>
        <v>1</v>
      </c>
    </row>
    <row r="219" spans="1:55" ht="129.75" customHeight="1">
      <c r="A219" s="43" t="str">
        <f t="shared" si="0"/>
        <v>45020A-USAnavy</v>
      </c>
      <c r="B219" s="45" t="str">
        <f>IF(C219&lt;&gt;"",_xlfn.XLOOKUP(A219,'1C'!A:A,'1C'!B:B,MID(_xlfn.XLOOKUP(C219,'1C'!S:S,'1C'!B:B,"new",0),1,7)&amp;IF(BC219=1,IF(L219&lt;&gt;"",_xlfn.XLOOKUP(L219,Colors!A:A,Colors!B:B,"new",0),"требуется цвет"),""),0))</f>
        <v>06-329-16</v>
      </c>
      <c r="C219" s="44" t="s">
        <v>2251</v>
      </c>
      <c r="D219" s="43" t="str">
        <f>IF(A219&lt;&gt;"",_xlfn.XLOOKUP(C219,'1C'!S:S,'1C'!T:T,"",0),"")</f>
        <v>United States Conrad</v>
      </c>
      <c r="E219" s="43" t="str">
        <f>IF(F219&lt;&gt;"",IFERROR(VLOOKUP(F219,Категории!A:B,2,0),""),"Требуется категория")</f>
        <v>Бейсболки</v>
      </c>
      <c r="F219" s="43" t="str">
        <f>IF(A219&lt;&gt;"",IF(BA219&gt;0,_xlfn.XLOOKUP(A219,'1C'!A:A,'1C'!J:J,"",0),_xlfn.XLOOKUP(C219,'1C'!S:S,'1C'!J:J,"",0)),"")</f>
        <v>Бейсболка</v>
      </c>
      <c r="G219" s="43" t="str">
        <f>IF(C219&lt;&gt;"",IF(BA219&gt;0,_xlfn.XLOOKUP(A219,'1C'!A:A,'1C'!L:L,"",0),_xlfn.XLOOKUP(C219,'1C'!S:S,'1C'!L:L,"",0)),"")</f>
        <v>State</v>
      </c>
      <c r="H219" s="43" t="str">
        <f>IF(A219&lt;&gt;"",_xlfn.XLOOKUP(A219,'1C'!A:A,'1C'!M:M,_xlfn.XLOOKUP(C219,'1C'!S:S,'1C'!M:M,"",0),0))</f>
        <v>всесезон</v>
      </c>
      <c r="J219" s="43" t="str">
        <f>'1C'!$AF$1</f>
        <v>American Needle</v>
      </c>
      <c r="K219" s="104" t="s">
        <v>818</v>
      </c>
      <c r="L219" s="59" t="str">
        <f>IF(K219&lt;&gt;"",IFERROR(VLOOKUP(A219,'1C'!A:T,8,0),IFERROR(VLOOKUP(K219,Colors!D:E,2,0),"")),"")</f>
        <v>темно-синий</v>
      </c>
      <c r="M219" s="59" t="str">
        <f>IF(K219&lt;&gt;"",IFERROR(VLOOKUP(A219,'1C'!A:T,18,0),IFERROR(VLOOKUP(K219,Colors!D:E,2,0),"")),"")</f>
        <v>синий</v>
      </c>
      <c r="N219" s="147" t="str">
        <f>IF(A219&lt;&gt;"",_xlfn.XLOOKUP(A219,'1C'!A:A,'1C'!I:I,_xlfn.XLOOKUP(C219,'1C'!S:S,'1C'!I:I,"",0),0),"")</f>
        <v>100% хлопок</v>
      </c>
      <c r="P219" s="43" t="str">
        <f>IF(A219&lt;&gt;"",_xlfn.XLOOKUP(A219,'1C'!A:A,'1C'!N:N,_xlfn.XLOOKUP(C219,'1C'!S:S,'1C'!N:N,"",0),0),"")</f>
        <v>хлопковые</v>
      </c>
      <c r="Q219" s="59" t="s">
        <v>15</v>
      </c>
      <c r="R219" s="43" t="str">
        <f>IF(A219&lt;&gt;"",_xlfn.XLOOKUP(A219,'1C'!A:A,'1C'!K:K,_xlfn.XLOOKUP(C219,'1C'!S:S,'1C'!K:K,"",0),0),"")</f>
        <v>Унисекс</v>
      </c>
      <c r="S219" s="44">
        <v>41</v>
      </c>
      <c r="AQ219" s="59">
        <f t="shared" si="1"/>
        <v>41</v>
      </c>
      <c r="AR219" s="43" t="str">
        <f>IF(A219&lt;&gt;"",_xlfn.XLOOKUP(_xlfn.XLOOKUP(A219,'1C'!A:A,'1C'!O:O,_xlfn.XLOOKUP(C219,'1C'!S:S,'1C'!O:O,"",0),0),Settings!N:N,Settings!O:O,"",0),"")</f>
        <v>CN</v>
      </c>
      <c r="AS219" s="56" t="str">
        <f ca="1">IF(BA219&gt;0,_xlfn.XLOOKUP(A219,'1C'!$A:$A,'1C'!P:P,"",0,),IF(AR219&lt;&gt;"",VLOOKUP(AR219,INDIRECT(SUBSTITUTE($J219," ","")&amp;"Manufactures"),3,0),"Требуется код страны"))</f>
        <v>American Needle, Inc; 1275 Busch Parkway, Buffalo Grove, IL 60089, USA</v>
      </c>
      <c r="AT219" s="56" t="str">
        <f ca="1">IF(BA219&gt;0,_xlfn.XLOOKUP(A219,'1C'!$A:$A,'1C'!O:O,"",0),IF(AR219&lt;&gt;"",VLOOKUP(AR219,INDIRECT(SUBSTITUTE($J219," ","")&amp;"Manufactures"),2,0),"Требуется код страны"))</f>
        <v>Китай</v>
      </c>
      <c r="AU219" s="76">
        <f t="shared" si="2"/>
        <v>0.1</v>
      </c>
      <c r="AV219" s="43">
        <f t="shared" si="3"/>
        <v>0.15000000000000002</v>
      </c>
      <c r="AW219" s="43">
        <f t="shared" si="4"/>
        <v>4.1000000000000005</v>
      </c>
      <c r="AX219" s="43">
        <f t="shared" si="5"/>
        <v>6.1500000000000012</v>
      </c>
      <c r="AY219" s="155">
        <v>6.8000000000000007</v>
      </c>
      <c r="AZ219" s="156">
        <f t="shared" si="6"/>
        <v>278.8</v>
      </c>
      <c r="BA219" s="45">
        <f>IF(A219&lt;&gt;"",IF(_xlfn.XLOOKUP(A219,'1C'!A:A,'1C'!A:A,0,0)&gt;0,1,0),"")</f>
        <v>1</v>
      </c>
      <c r="BB219" s="150">
        <f>IF(C219&lt;&gt;"",IF(_xlfn.XLOOKUP(C219,'1C'!S:S,'1C'!S:S,0,0)&gt;0,0,1),"")</f>
        <v>0</v>
      </c>
      <c r="BC219" s="45">
        <f t="shared" si="7"/>
        <v>0</v>
      </c>
    </row>
    <row r="220" spans="1:55" ht="135.75" customHeight="1">
      <c r="A220" s="43" t="str">
        <f t="shared" si="0"/>
        <v>45020A-USAoff white</v>
      </c>
      <c r="B220" s="45" t="str">
        <f>IF(C220&lt;&gt;"",_xlfn.XLOOKUP(A220,'1C'!A:A,'1C'!B:B,MID(_xlfn.XLOOKUP(C220,'1C'!S:S,'1C'!B:B,"new",0),1,7)&amp;IF(BC220=1,IF(L220&lt;&gt;"",_xlfn.XLOOKUP(L220,Colors!A:A,Colors!B:B,"new",0),"требуется цвет"),""),0))</f>
        <v>06-329-17</v>
      </c>
      <c r="C220" s="44" t="s">
        <v>2251</v>
      </c>
      <c r="D220" s="43" t="str">
        <f>IF(A220&lt;&gt;"",_xlfn.XLOOKUP(C220,'1C'!S:S,'1C'!T:T,"",0),"")</f>
        <v>United States Conrad</v>
      </c>
      <c r="E220" s="43" t="str">
        <f>IF(F220&lt;&gt;"",IFERROR(VLOOKUP(F220,Категории!A:B,2,0),""),"Требуется категория")</f>
        <v>Бейсболки</v>
      </c>
      <c r="F220" s="43" t="str">
        <f>IF(A220&lt;&gt;"",IF(BA220&gt;0,_xlfn.XLOOKUP(A220,'1C'!A:A,'1C'!J:J,"",0),_xlfn.XLOOKUP(C220,'1C'!S:S,'1C'!J:J,"",0)),"")</f>
        <v>Бейсболка</v>
      </c>
      <c r="G220" s="43" t="str">
        <f>IF(C220&lt;&gt;"",IF(BA220&gt;0,_xlfn.XLOOKUP(A220,'1C'!A:A,'1C'!L:L,"",0),_xlfn.XLOOKUP(C220,'1C'!S:S,'1C'!L:L,"",0)),"")</f>
        <v>State</v>
      </c>
      <c r="H220" s="43" t="str">
        <f>IF(A220&lt;&gt;"",_xlfn.XLOOKUP(A220,'1C'!A:A,'1C'!M:M,_xlfn.XLOOKUP(C220,'1C'!S:S,'1C'!M:M,"",0),0))</f>
        <v>всесезон</v>
      </c>
      <c r="J220" s="43" t="str">
        <f>'1C'!$AF$1</f>
        <v>American Needle</v>
      </c>
      <c r="K220" s="104" t="s">
        <v>2300</v>
      </c>
      <c r="L220" s="58" t="s">
        <v>57</v>
      </c>
      <c r="M220" s="58" t="s">
        <v>57</v>
      </c>
      <c r="N220" s="147" t="str">
        <f>IF(A220&lt;&gt;"",_xlfn.XLOOKUP(A220,'1C'!A:A,'1C'!I:I,_xlfn.XLOOKUP(C220,'1C'!S:S,'1C'!I:I,"",0),0),"")</f>
        <v>100% хлопок</v>
      </c>
      <c r="P220" s="43" t="str">
        <f>IF(A220&lt;&gt;"",_xlfn.XLOOKUP(A220,'1C'!A:A,'1C'!N:N,_xlfn.XLOOKUP(C220,'1C'!S:S,'1C'!N:N,"",0),0),"")</f>
        <v>хлопковые</v>
      </c>
      <c r="Q220" s="59" t="s">
        <v>15</v>
      </c>
      <c r="R220" s="43" t="str">
        <f>IF(A220&lt;&gt;"",_xlfn.XLOOKUP(A220,'1C'!A:A,'1C'!K:K,_xlfn.XLOOKUP(C220,'1C'!S:S,'1C'!K:K,"",0),0),"")</f>
        <v>Унисекс</v>
      </c>
      <c r="S220" s="44">
        <v>12</v>
      </c>
      <c r="AQ220" s="59">
        <f t="shared" si="1"/>
        <v>12</v>
      </c>
      <c r="AR220" s="43" t="str">
        <f>IF(A220&lt;&gt;"",_xlfn.XLOOKUP(_xlfn.XLOOKUP(A220,'1C'!A:A,'1C'!O:O,_xlfn.XLOOKUP(C220,'1C'!S:S,'1C'!O:O,"",0),0),Settings!N:N,Settings!O:O,"",0),"")</f>
        <v>CN</v>
      </c>
      <c r="AS220" s="56" t="str">
        <f ca="1">IF(BA220&gt;0,_xlfn.XLOOKUP(A220,'1C'!$A:$A,'1C'!P:P,"",0,),IF(AR220&lt;&gt;"",VLOOKUP(AR220,INDIRECT(SUBSTITUTE($J220," ","")&amp;"Manufactures"),3,0),"Требуется код страны"))</f>
        <v>American Needle, Inc; 1275 Busch Parkway, Buffalo Grove, IL 60089, USA</v>
      </c>
      <c r="AT220" s="56" t="str">
        <f ca="1">IF(BA220&gt;0,_xlfn.XLOOKUP(A220,'1C'!$A:$A,'1C'!O:O,"",0),IF(AR220&lt;&gt;"",VLOOKUP(AR220,INDIRECT(SUBSTITUTE($J220," ","")&amp;"Manufactures"),2,0),"Требуется код страны"))</f>
        <v>Китай</v>
      </c>
      <c r="AU220" s="76">
        <f t="shared" si="2"/>
        <v>0.1</v>
      </c>
      <c r="AV220" s="43">
        <f t="shared" si="3"/>
        <v>0.15000000000000002</v>
      </c>
      <c r="AW220" s="43">
        <f t="shared" si="4"/>
        <v>1.2000000000000002</v>
      </c>
      <c r="AX220" s="43">
        <f t="shared" si="5"/>
        <v>1.8000000000000003</v>
      </c>
      <c r="AY220" s="155">
        <v>6.8</v>
      </c>
      <c r="AZ220" s="156">
        <f t="shared" si="6"/>
        <v>81.599999999999994</v>
      </c>
      <c r="BA220" s="45">
        <f>IF(A220&lt;&gt;"",IF(_xlfn.XLOOKUP(A220,'1C'!A:A,'1C'!A:A,0,0)&gt;0,1,0),"")</f>
        <v>0</v>
      </c>
      <c r="BB220" s="150">
        <f>IF(C220&lt;&gt;"",IF(_xlfn.XLOOKUP(C220,'1C'!S:S,'1C'!S:S,0,0)&gt;0,0,1),"")</f>
        <v>0</v>
      </c>
      <c r="BC220" s="45">
        <f t="shared" si="7"/>
        <v>1</v>
      </c>
    </row>
    <row r="221" spans="1:55" ht="119.65" customHeight="1">
      <c r="A221" s="43" t="str">
        <f t="shared" si="0"/>
        <v>AMN-1701Ared</v>
      </c>
      <c r="B221" s="45" t="str">
        <f>IF(C221&lt;&gt;"",_xlfn.XLOOKUP(A221,'1C'!A:A,'1C'!B:B,MID(_xlfn.XLOOKUP(C221,'1C'!S:S,'1C'!B:B,"new",0),1,7)&amp;IF(BC221=1,IF(L221&lt;&gt;"",_xlfn.XLOOKUP(L221,Colors!A:A,Colors!B:B,"new",0),"требуется цвет"),""),0))</f>
        <v>06-472-18</v>
      </c>
      <c r="C221" s="44" t="s">
        <v>2252</v>
      </c>
      <c r="D221" s="43" t="str">
        <f>VLOOKUP(C221,Names!A:B,2,0)</f>
        <v>American Needle Ballpark</v>
      </c>
      <c r="E221" s="43" t="str">
        <f>IF(F221&lt;&gt;"",IFERROR(VLOOKUP(F221,Категории!A:B,2,0),""),"Требуется категория")</f>
        <v>Бейсболки</v>
      </c>
      <c r="F221" s="44" t="s">
        <v>327</v>
      </c>
      <c r="G221" s="44" t="s">
        <v>880</v>
      </c>
      <c r="H221" s="44" t="s">
        <v>388</v>
      </c>
      <c r="J221" s="43" t="str">
        <f>'1C'!$AF$1</f>
        <v>American Needle</v>
      </c>
      <c r="K221" s="104" t="s">
        <v>822</v>
      </c>
      <c r="L221" s="59" t="str">
        <f>IF(K221&lt;&gt;"",IFERROR(VLOOKUP(A221,'1C'!A:T,8,0),IFERROR(VLOOKUP(K221,Colors!D:E,2,0),"")),"")</f>
        <v>красный</v>
      </c>
      <c r="M221" s="59" t="str">
        <f>IF(K221&lt;&gt;"",IFERROR(VLOOKUP(A221,'1C'!A:T,18,0),IFERROR(VLOOKUP(K221,Colors!D:E,2,0),"")),"")</f>
        <v>красный</v>
      </c>
      <c r="N221" s="141" t="str">
        <f>Order!B219</f>
        <v>100% Хлопок</v>
      </c>
      <c r="P221" s="44" t="s">
        <v>43</v>
      </c>
      <c r="Q221" s="59" t="s">
        <v>15</v>
      </c>
      <c r="R221" s="58" t="s">
        <v>382</v>
      </c>
      <c r="S221" s="44">
        <v>20</v>
      </c>
      <c r="AQ221" s="59">
        <f t="shared" si="1"/>
        <v>20</v>
      </c>
      <c r="AR221" s="66" t="str">
        <f>Order!A219</f>
        <v>BD</v>
      </c>
      <c r="AS221" s="56" t="str">
        <f ca="1">IF(BA221&gt;0,_xlfn.XLOOKUP(A221,'1C'!$A:$A,'1C'!P:P,"",0,),IF(AR221&lt;&gt;"",VLOOKUP(AR221,INDIRECT(SUBSTITUTE($J221," ","")&amp;"Manufactures"),3,0),"Требуется код страны"))</f>
        <v>American Needle, Inc; 1275 Busch Parkway, Buffalo Grove, IL 60089, USA</v>
      </c>
      <c r="AT221" s="56" t="str">
        <f ca="1">IF(BA221&gt;0,_xlfn.XLOOKUP(A221,'1C'!$A:$A,'1C'!O:O,"",0),IF(AR221&lt;&gt;"",VLOOKUP(AR221,INDIRECT(SUBSTITUTE($J221," ","")&amp;"Manufactures"),2,0),"Требуется код страны"))</f>
        <v>Бангладеш</v>
      </c>
      <c r="AU221" s="76">
        <f t="shared" si="2"/>
        <v>0.1</v>
      </c>
      <c r="AV221" s="43">
        <f t="shared" si="3"/>
        <v>0.15000000000000002</v>
      </c>
      <c r="AW221" s="43">
        <f t="shared" si="4"/>
        <v>2</v>
      </c>
      <c r="AX221" s="43">
        <f t="shared" si="5"/>
        <v>3.0000000000000004</v>
      </c>
      <c r="AY221" s="155">
        <v>5.5250000000000004</v>
      </c>
      <c r="AZ221" s="156">
        <f t="shared" si="6"/>
        <v>110.5</v>
      </c>
      <c r="BA221" s="45">
        <f>IF(A221&lt;&gt;"",IF(_xlfn.XLOOKUP(A221,'1C'!A:A,'1C'!A:A,0,0)&gt;0,1,0),"")</f>
        <v>0</v>
      </c>
      <c r="BB221" s="150">
        <f>IF(C221&lt;&gt;"",IF(_xlfn.XLOOKUP(C221,'1C'!S:S,'1C'!S:S,0,0)&gt;0,0,1),"")</f>
        <v>0</v>
      </c>
      <c r="BC221" s="45">
        <f t="shared" si="7"/>
        <v>1</v>
      </c>
    </row>
    <row r="222" spans="1:55" ht="119.65" customHeight="1">
      <c r="A222" s="43" t="str">
        <f t="shared" si="0"/>
        <v>AMN-1701Bsnow white</v>
      </c>
      <c r="B222" s="45" t="str">
        <f>IF(C222&lt;&gt;"",_xlfn.XLOOKUP(A222,'1C'!A:A,'1C'!B:B,MID(_xlfn.XLOOKUP(C222,'1C'!S:S,'1C'!B:B,"new",0),1,7)&amp;IF(BC222=1,IF(L222&lt;&gt;"",_xlfn.XLOOKUP(L222,Colors!A:A,Colors!B:B,"new",0),"требуется цвет"),""),0))</f>
        <v>06-473-17</v>
      </c>
      <c r="C222" s="44" t="s">
        <v>2253</v>
      </c>
      <c r="D222" s="43" t="str">
        <f>VLOOKUP(C222,Names!A:B,2,0)</f>
        <v>American Needle Ballpark</v>
      </c>
      <c r="E222" s="43" t="str">
        <f>IF(F222&lt;&gt;"",IFERROR(VLOOKUP(F222,Категории!A:B,2,0),""),"Требуется категория")</f>
        <v>Бейсболки</v>
      </c>
      <c r="F222" s="44" t="s">
        <v>327</v>
      </c>
      <c r="G222" s="44" t="s">
        <v>880</v>
      </c>
      <c r="H222" s="44" t="s">
        <v>388</v>
      </c>
      <c r="J222" s="43" t="str">
        <f>'1C'!$AF$1</f>
        <v>American Needle</v>
      </c>
      <c r="K222" s="104" t="s">
        <v>2301</v>
      </c>
      <c r="L222" s="58" t="s">
        <v>57</v>
      </c>
      <c r="M222" s="58" t="s">
        <v>57</v>
      </c>
      <c r="N222" s="141" t="str">
        <f>Order!B220</f>
        <v>100% Хлопок</v>
      </c>
      <c r="P222" s="44" t="s">
        <v>43</v>
      </c>
      <c r="Q222" s="59" t="s">
        <v>15</v>
      </c>
      <c r="R222" s="58" t="s">
        <v>382</v>
      </c>
      <c r="S222" s="44">
        <v>18</v>
      </c>
      <c r="AQ222" s="59">
        <f t="shared" si="1"/>
        <v>18</v>
      </c>
      <c r="AR222" s="66" t="str">
        <f>Order!A220</f>
        <v>BD</v>
      </c>
      <c r="AS222" s="56" t="str">
        <f ca="1">IF(BA222&gt;0,_xlfn.XLOOKUP(A222,'1C'!$A:$A,'1C'!P:P,"",0,),IF(AR222&lt;&gt;"",VLOOKUP(AR222,INDIRECT(SUBSTITUTE($J222," ","")&amp;"Manufactures"),3,0),"Требуется код страны"))</f>
        <v>American Needle, Inc; 1275 Busch Parkway, Buffalo Grove, IL 60089, USA</v>
      </c>
      <c r="AT222" s="56" t="str">
        <f ca="1">IF(BA222&gt;0,_xlfn.XLOOKUP(A222,'1C'!$A:$A,'1C'!O:O,"",0),IF(AR222&lt;&gt;"",VLOOKUP(AR222,INDIRECT(SUBSTITUTE($J222," ","")&amp;"Manufactures"),2,0),"Требуется код страны"))</f>
        <v>Бангладеш</v>
      </c>
      <c r="AU222" s="76">
        <f t="shared" si="2"/>
        <v>0.1</v>
      </c>
      <c r="AV222" s="43">
        <f t="shared" si="3"/>
        <v>0.15000000000000002</v>
      </c>
      <c r="AW222" s="43">
        <f t="shared" si="4"/>
        <v>1.8</v>
      </c>
      <c r="AX222" s="43">
        <f t="shared" si="5"/>
        <v>2.7</v>
      </c>
      <c r="AY222" s="155">
        <v>5.5250000000000004</v>
      </c>
      <c r="AZ222" s="156">
        <f t="shared" si="6"/>
        <v>99.45</v>
      </c>
      <c r="BA222" s="45">
        <f>IF(A222&lt;&gt;"",IF(_xlfn.XLOOKUP(A222,'1C'!A:A,'1C'!A:A,0,0)&gt;0,1,0),"")</f>
        <v>0</v>
      </c>
      <c r="BB222" s="150">
        <f>IF(C222&lt;&gt;"",IF(_xlfn.XLOOKUP(C222,'1C'!S:S,'1C'!S:S,0,0)&gt;0,0,1),"")</f>
        <v>0</v>
      </c>
      <c r="BC222" s="45">
        <f t="shared" si="7"/>
        <v>1</v>
      </c>
    </row>
    <row r="223" spans="1:55" ht="115.7" customHeight="1">
      <c r="A223" s="43" t="str">
        <f t="shared" si="0"/>
        <v>AMN-1712Astone-black</v>
      </c>
      <c r="B223" s="45" t="str">
        <f>IF(C223&lt;&gt;"",_xlfn.XLOOKUP(A223,'1C'!A:A,'1C'!B:B,MID(_xlfn.XLOOKUP(C223,'1C'!S:S,'1C'!B:B,"new",0),1,7)&amp;IF(BC223=1,IF(L223&lt;&gt;"",_xlfn.XLOOKUP(L223,Colors!A:A,Colors!B:B,"new",0),"требуется цвет"),""),0))</f>
        <v>06-474-48</v>
      </c>
      <c r="C223" s="44" t="s">
        <v>2254</v>
      </c>
      <c r="D223" s="43" t="str">
        <f>VLOOKUP(C223,Names!A:B,2,0)</f>
        <v>American Needle New Timer</v>
      </c>
      <c r="E223" s="43" t="str">
        <f>IF(F223&lt;&gt;"",IFERROR(VLOOKUP(F223,Категории!A:B,2,0),""),"Требуется категория")</f>
        <v>Бейсболки</v>
      </c>
      <c r="F223" s="44" t="s">
        <v>327</v>
      </c>
      <c r="G223" s="44" t="s">
        <v>880</v>
      </c>
      <c r="H223" s="44" t="s">
        <v>388</v>
      </c>
      <c r="J223" s="43" t="str">
        <f>'1C'!$AF$1</f>
        <v>American Needle</v>
      </c>
      <c r="K223" s="104" t="s">
        <v>2302</v>
      </c>
      <c r="L223" s="58" t="s">
        <v>119</v>
      </c>
      <c r="M223" s="58" t="s">
        <v>57</v>
      </c>
      <c r="N223" s="141" t="str">
        <f>Order!B221</f>
        <v>100% Хлопок</v>
      </c>
      <c r="P223" s="44" t="s">
        <v>43</v>
      </c>
      <c r="Q223" s="59" t="s">
        <v>15</v>
      </c>
      <c r="R223" s="58" t="s">
        <v>382</v>
      </c>
      <c r="S223" s="44">
        <v>29</v>
      </c>
      <c r="AQ223" s="59">
        <f t="shared" si="1"/>
        <v>29</v>
      </c>
      <c r="AR223" s="66" t="str">
        <f>Order!A221</f>
        <v>BD</v>
      </c>
      <c r="AS223" s="56" t="str">
        <f ca="1">IF(BA223&gt;0,_xlfn.XLOOKUP(A223,'1C'!$A:$A,'1C'!P:P,"",0,),IF(AR223&lt;&gt;"",VLOOKUP(AR223,INDIRECT(SUBSTITUTE($J223," ","")&amp;"Manufactures"),3,0),"Требуется код страны"))</f>
        <v>American Needle, Inc; 1275 Busch Parkway, Buffalo Grove, IL 60089, USA</v>
      </c>
      <c r="AT223" s="56" t="str">
        <f ca="1">IF(BA223&gt;0,_xlfn.XLOOKUP(A223,'1C'!$A:$A,'1C'!O:O,"",0),IF(AR223&lt;&gt;"",VLOOKUP(AR223,INDIRECT(SUBSTITUTE($J223," ","")&amp;"Manufactures"),2,0),"Требуется код страны"))</f>
        <v>Бангладеш</v>
      </c>
      <c r="AU223" s="76">
        <f t="shared" si="2"/>
        <v>0.1</v>
      </c>
      <c r="AV223" s="43">
        <f t="shared" si="3"/>
        <v>0.15000000000000002</v>
      </c>
      <c r="AW223" s="43">
        <f t="shared" si="4"/>
        <v>2.9000000000000004</v>
      </c>
      <c r="AX223" s="43">
        <f t="shared" si="5"/>
        <v>4.3500000000000005</v>
      </c>
      <c r="AY223" s="155">
        <v>5.95</v>
      </c>
      <c r="AZ223" s="156">
        <f t="shared" si="6"/>
        <v>172.55</v>
      </c>
      <c r="BA223" s="45">
        <f>IF(A223&lt;&gt;"",IF(_xlfn.XLOOKUP(A223,'1C'!A:A,'1C'!A:A,0,0)&gt;0,1,0),"")</f>
        <v>0</v>
      </c>
      <c r="BB223" s="150">
        <f>IF(C223&lt;&gt;"",IF(_xlfn.XLOOKUP(C223,'1C'!S:S,'1C'!S:S,0,0)&gt;0,0,1),"")</f>
        <v>0</v>
      </c>
      <c r="BC223" s="45">
        <f t="shared" si="7"/>
        <v>1</v>
      </c>
    </row>
    <row r="224" spans="1:55" ht="120.6" customHeight="1">
      <c r="A224" s="43" t="str">
        <f t="shared" si="0"/>
        <v>FEND-1908Ablack</v>
      </c>
      <c r="B224" s="45" t="str">
        <f>IF(C224&lt;&gt;"",_xlfn.XLOOKUP(A224,'1C'!A:A,'1C'!B:B,MID(_xlfn.XLOOKUP(C224,'1C'!S:S,'1C'!B:B,"new",0),1,7)&amp;IF(BC224=1,IF(L224&lt;&gt;"",_xlfn.XLOOKUP(L224,Colors!A:A,Colors!B:B,"new",0),"требуется цвет"),""),0))</f>
        <v>06-475-09</v>
      </c>
      <c r="C224" s="44" t="s">
        <v>2255</v>
      </c>
      <c r="D224" s="43" t="str">
        <f>VLOOKUP(C224,Names!A:B,2,0)</f>
        <v>FENDER Raglan Bones</v>
      </c>
      <c r="E224" s="43" t="str">
        <f>IF(F224&lt;&gt;"",IFERROR(VLOOKUP(F224,Категории!A:B,2,0),""),"Требуется категория")</f>
        <v>Бейсболки</v>
      </c>
      <c r="F224" s="44" t="s">
        <v>356</v>
      </c>
      <c r="G224" s="44" t="s">
        <v>2313</v>
      </c>
      <c r="H224" s="44" t="s">
        <v>388</v>
      </c>
      <c r="J224" s="43" t="str">
        <f>'1C'!$AF$1</f>
        <v>American Needle</v>
      </c>
      <c r="K224" s="104" t="s">
        <v>819</v>
      </c>
      <c r="L224" s="59" t="str">
        <f>IF(K224&lt;&gt;"",IFERROR(VLOOKUP(A224,'1C'!A:T,8,0),IFERROR(VLOOKUP(K224,Colors!D:E,2,0),"")),"")</f>
        <v>черный</v>
      </c>
      <c r="M224" s="59" t="str">
        <f>IF(K224&lt;&gt;"",IFERROR(VLOOKUP(A224,'1C'!A:T,18,0),IFERROR(VLOOKUP(K224,Colors!D:E,2,0),"")),"")</f>
        <v>черный</v>
      </c>
      <c r="N224" s="141" t="str">
        <f>Order!B222</f>
        <v>100% Хлопок</v>
      </c>
      <c r="P224" s="44" t="s">
        <v>43</v>
      </c>
      <c r="Q224" s="59" t="s">
        <v>15</v>
      </c>
      <c r="R224" s="58" t="s">
        <v>382</v>
      </c>
      <c r="S224" s="44">
        <v>12</v>
      </c>
      <c r="AQ224" s="59">
        <f t="shared" si="1"/>
        <v>12</v>
      </c>
      <c r="AR224" s="66" t="str">
        <f>Order!A222</f>
        <v>BD</v>
      </c>
      <c r="AS224" s="56" t="str">
        <f ca="1">IF(BA224&gt;0,_xlfn.XLOOKUP(A224,'1C'!$A:$A,'1C'!P:P,"",0,),IF(AR224&lt;&gt;"",VLOOKUP(AR224,INDIRECT(SUBSTITUTE($J224," ","")&amp;"Manufactures"),3,0),"Требуется код страны"))</f>
        <v>American Needle, Inc; 1275 Busch Parkway, Buffalo Grove, IL 60089, USA</v>
      </c>
      <c r="AT224" s="56" t="str">
        <f ca="1">IF(BA224&gt;0,_xlfn.XLOOKUP(A224,'1C'!$A:$A,'1C'!O:O,"",0),IF(AR224&lt;&gt;"",VLOOKUP(AR224,INDIRECT(SUBSTITUTE($J224," ","")&amp;"Manufactures"),2,0),"Требуется код страны"))</f>
        <v>Бангладеш</v>
      </c>
      <c r="AU224" s="76">
        <f t="shared" si="2"/>
        <v>0.1</v>
      </c>
      <c r="AV224" s="43">
        <f t="shared" si="3"/>
        <v>0.15000000000000002</v>
      </c>
      <c r="AW224" s="43">
        <f t="shared" si="4"/>
        <v>1.2000000000000002</v>
      </c>
      <c r="AX224" s="43">
        <f t="shared" si="5"/>
        <v>1.8000000000000003</v>
      </c>
      <c r="AY224" s="155">
        <v>7.6499999999999995</v>
      </c>
      <c r="AZ224" s="156">
        <f t="shared" si="6"/>
        <v>91.8</v>
      </c>
      <c r="BA224" s="45">
        <f>IF(A224&lt;&gt;"",IF(_xlfn.XLOOKUP(A224,'1C'!A:A,'1C'!A:A,0,0)&gt;0,1,0),"")</f>
        <v>0</v>
      </c>
      <c r="BB224" s="150">
        <f>IF(C224&lt;&gt;"",IF(_xlfn.XLOOKUP(C224,'1C'!S:S,'1C'!S:S,0,0)&gt;0,0,1),"")</f>
        <v>0</v>
      </c>
      <c r="BC224" s="45">
        <f t="shared" si="7"/>
        <v>1</v>
      </c>
    </row>
    <row r="225" spans="1:55" ht="115.7" customHeight="1">
      <c r="A225" s="43" t="str">
        <f t="shared" si="0"/>
        <v>GM-1907Bivory-navy</v>
      </c>
      <c r="B225" s="45" t="str">
        <f>IF(C225&lt;&gt;"",_xlfn.XLOOKUP(A225,'1C'!A:A,'1C'!B:B,MID(_xlfn.XLOOKUP(C225,'1C'!S:S,'1C'!B:B,"new",0),1,7)&amp;IF(BC225=1,IF(L225&lt;&gt;"",_xlfn.XLOOKUP(L225,Colors!A:A,Colors!B:B,"new",0),"требуется цвет"),""),0))</f>
        <v>06-476-06</v>
      </c>
      <c r="C225" s="44" t="s">
        <v>2256</v>
      </c>
      <c r="D225" s="43" t="str">
        <f>VLOOKUP(C225,Names!A:B,2,0)</f>
        <v>GM Pontiac Valin</v>
      </c>
      <c r="E225" s="43" t="str">
        <f>IF(F225&lt;&gt;"",IFERROR(VLOOKUP(F225,Категории!A:B,2,0),""),"Требуется категория")</f>
        <v>Бейсболки</v>
      </c>
      <c r="F225" s="44" t="s">
        <v>356</v>
      </c>
      <c r="G225" s="44" t="s">
        <v>1358</v>
      </c>
      <c r="H225" s="44" t="s">
        <v>388</v>
      </c>
      <c r="J225" s="43" t="str">
        <f>'1C'!$AF$1</f>
        <v>American Needle</v>
      </c>
      <c r="K225" s="104" t="s">
        <v>1411</v>
      </c>
      <c r="L225" s="58" t="s">
        <v>71</v>
      </c>
      <c r="M225" s="58" t="s">
        <v>71</v>
      </c>
      <c r="N225" s="141" t="str">
        <f>Order!B223</f>
        <v>100% Хлопок</v>
      </c>
      <c r="P225" s="44" t="s">
        <v>43</v>
      </c>
      <c r="Q225" s="59" t="s">
        <v>15</v>
      </c>
      <c r="R225" s="58" t="s">
        <v>382</v>
      </c>
      <c r="S225" s="44">
        <v>12</v>
      </c>
      <c r="AQ225" s="59">
        <f t="shared" si="1"/>
        <v>12</v>
      </c>
      <c r="AR225" s="66" t="str">
        <f>Order!A223</f>
        <v>CN</v>
      </c>
      <c r="AS225" s="56" t="str">
        <f ca="1">IF(BA225&gt;0,_xlfn.XLOOKUP(A225,'1C'!$A:$A,'1C'!P:P,"",0,),IF(AR225&lt;&gt;"",VLOOKUP(AR225,INDIRECT(SUBSTITUTE($J225," ","")&amp;"Manufactures"),3,0),"Требуется код страны"))</f>
        <v>American Needle, Inc; 1275 Busch Parkway, Buffalo Grove, IL 60089, USA</v>
      </c>
      <c r="AT225" s="56" t="str">
        <f ca="1">IF(BA225&gt;0,_xlfn.XLOOKUP(A225,'1C'!$A:$A,'1C'!O:O,"",0),IF(AR225&lt;&gt;"",VLOOKUP(AR225,INDIRECT(SUBSTITUTE($J225," ","")&amp;"Manufactures"),2,0),"Требуется код страны"))</f>
        <v>Китай</v>
      </c>
      <c r="AU225" s="76">
        <f t="shared" si="2"/>
        <v>0.1</v>
      </c>
      <c r="AV225" s="43">
        <f t="shared" si="3"/>
        <v>0.15000000000000002</v>
      </c>
      <c r="AW225" s="43">
        <f t="shared" si="4"/>
        <v>1.2000000000000002</v>
      </c>
      <c r="AX225" s="43">
        <f t="shared" si="5"/>
        <v>1.8000000000000003</v>
      </c>
      <c r="AY225" s="155">
        <v>8.2874999999999996</v>
      </c>
      <c r="AZ225" s="156">
        <f t="shared" si="6"/>
        <v>99.449999999999989</v>
      </c>
      <c r="BA225" s="45">
        <f>IF(A225&lt;&gt;"",IF(_xlfn.XLOOKUP(A225,'1C'!A:A,'1C'!A:A,0,0)&gt;0,1,0),"")</f>
        <v>0</v>
      </c>
      <c r="BB225" s="150">
        <f>IF(C225&lt;&gt;"",IF(_xlfn.XLOOKUP(C225,'1C'!S:S,'1C'!S:S,0,0)&gt;0,0,1),"")</f>
        <v>0</v>
      </c>
      <c r="BC225" s="45">
        <f t="shared" si="7"/>
        <v>1</v>
      </c>
    </row>
    <row r="226" spans="1:55" ht="119.65" customHeight="1">
      <c r="A226" s="43" t="str">
        <f t="shared" si="0"/>
        <v>GM-1909Bblk</v>
      </c>
      <c r="B226" s="45" t="str">
        <f>IF(C226&lt;&gt;"",_xlfn.XLOOKUP(A226,'1C'!A:A,'1C'!B:B,MID(_xlfn.XLOOKUP(C226,'1C'!S:S,'1C'!B:B,"new",0),1,7)&amp;IF(BC226=1,IF(L226&lt;&gt;"",_xlfn.XLOOKUP(L226,Colors!A:A,Colors!B:B,"new",0),"требуется цвет"),""),0))</f>
        <v>06-119-09</v>
      </c>
      <c r="C226" s="44" t="s">
        <v>2257</v>
      </c>
      <c r="D226" s="43" t="str">
        <f>IF(A226&lt;&gt;"",_xlfn.XLOOKUP(C226,'1C'!S:S,'1C'!T:T,"",0),"")</f>
        <v>Cadillac</v>
      </c>
      <c r="E226" s="43" t="str">
        <f>IF(F226&lt;&gt;"",IFERROR(VLOOKUP(F226,Категории!A:B,2,0),""),"Требуется категория")</f>
        <v>Бейсболки</v>
      </c>
      <c r="F226" s="43" t="str">
        <f>IF(A226&lt;&gt;"",IF(BA226&gt;0,_xlfn.XLOOKUP(A226,'1C'!A:A,'1C'!J:J,"",0),_xlfn.XLOOKUP(C226,'1C'!S:S,'1C'!J:J,"",0)),"")</f>
        <v>Бейсболка с сеточкой</v>
      </c>
      <c r="G226" s="43" t="str">
        <f>IF(C226&lt;&gt;"",IF(BA226&gt;0,_xlfn.XLOOKUP(A226,'1C'!A:A,'1C'!L:L,"",0),_xlfn.XLOOKUP(C226,'1C'!S:S,'1C'!L:L,"",0)),"")</f>
        <v>AMERICAN NEEDLE-Cars</v>
      </c>
      <c r="H226" s="43" t="str">
        <f>IF(A226&lt;&gt;"",_xlfn.XLOOKUP(A226,'1C'!A:A,'1C'!M:M,_xlfn.XLOOKUP(C226,'1C'!S:S,'1C'!M:M,"",0),0))</f>
        <v>всесезон</v>
      </c>
      <c r="J226" s="43" t="str">
        <f>'1C'!$AF$1</f>
        <v>American Needle</v>
      </c>
      <c r="K226" s="104" t="s">
        <v>843</v>
      </c>
      <c r="L226" s="59" t="str">
        <f>IF(K226&lt;&gt;"",IFERROR(VLOOKUP(A226,'1C'!A:T,8,0),IFERROR(VLOOKUP(K226,Colors!D:E,2,0),"")),"")</f>
        <v>черный</v>
      </c>
      <c r="M226" s="59" t="str">
        <f>IF(K226&lt;&gt;"",IFERROR(VLOOKUP(A226,'1C'!A:T,18,0),IFERROR(VLOOKUP(K226,Colors!D:E,2,0),"")),"")</f>
        <v>черный</v>
      </c>
      <c r="N226" s="147" t="str">
        <f>IF(A226&lt;&gt;"",_xlfn.XLOOKUP(A226,'1C'!A:A,'1C'!I:I,_xlfn.XLOOKUP(C226,'1C'!S:S,'1C'!I:I,"",0),0),"")</f>
        <v>50% хлопок - 50% полиэстер</v>
      </c>
      <c r="P226" s="43" t="str">
        <f>IF(A226&lt;&gt;"",_xlfn.XLOOKUP(A226,'1C'!A:A,'1C'!N:N,_xlfn.XLOOKUP(C226,'1C'!S:S,'1C'!N:N,"",0),0),"")</f>
        <v>хлопковые</v>
      </c>
      <c r="Q226" s="59" t="s">
        <v>15</v>
      </c>
      <c r="R226" s="43" t="str">
        <f>IF(A226&lt;&gt;"",_xlfn.XLOOKUP(A226,'1C'!A:A,'1C'!K:K,_xlfn.XLOOKUP(C226,'1C'!S:S,'1C'!K:K,"",0),0),"")</f>
        <v>Унисекс</v>
      </c>
      <c r="S226" s="44">
        <v>6</v>
      </c>
      <c r="AQ226" s="59">
        <f t="shared" si="1"/>
        <v>6</v>
      </c>
      <c r="AR226" s="43" t="str">
        <f>IF(A226&lt;&gt;"",_xlfn.XLOOKUP(_xlfn.XLOOKUP(A226,'1C'!A:A,'1C'!O:O,_xlfn.XLOOKUP(C226,'1C'!S:S,'1C'!O:O,"",0),0),Settings!N:N,Settings!O:O,"",0),"")</f>
        <v>BD</v>
      </c>
      <c r="AS226" s="56" t="str">
        <f ca="1">IF(BA226&gt;0,_xlfn.XLOOKUP(A226,'1C'!$A:$A,'1C'!P:P,"",0,),IF(AR226&lt;&gt;"",VLOOKUP(AR226,INDIRECT(SUBSTITUTE($J226," ","")&amp;"Manufactures"),3,0),"Требуется код страны"))</f>
        <v>American Needle, Inc; 1275 Busch Parkway, Buffalo Grove, IL 60089, USA</v>
      </c>
      <c r="AT226" s="56" t="str">
        <f ca="1">IF(BA226&gt;0,_xlfn.XLOOKUP(A226,'1C'!$A:$A,'1C'!O:O,"",0),IF(AR226&lt;&gt;"",VLOOKUP(AR226,INDIRECT(SUBSTITUTE($J226," ","")&amp;"Manufactures"),2,0),"Требуется код страны"))</f>
        <v>Бангладеш</v>
      </c>
      <c r="AU226" s="76">
        <f t="shared" si="2"/>
        <v>0.1</v>
      </c>
      <c r="AV226" s="43">
        <f t="shared" si="3"/>
        <v>0.15000000000000002</v>
      </c>
      <c r="AW226" s="43">
        <f t="shared" si="4"/>
        <v>0.60000000000000009</v>
      </c>
      <c r="AX226" s="43">
        <f t="shared" si="5"/>
        <v>0.90000000000000013</v>
      </c>
      <c r="AY226" s="155">
        <v>7.2250000000000005</v>
      </c>
      <c r="AZ226" s="156">
        <f t="shared" si="6"/>
        <v>43.35</v>
      </c>
      <c r="BA226" s="45">
        <f>IF(A226&lt;&gt;"",IF(_xlfn.XLOOKUP(A226,'1C'!A:A,'1C'!A:A,0,0)&gt;0,1,0),"")</f>
        <v>1</v>
      </c>
      <c r="BB226" s="150">
        <f>IF(C226&lt;&gt;"",IF(_xlfn.XLOOKUP(C226,'1C'!S:S,'1C'!S:S,0,0)&gt;0,0,1),"")</f>
        <v>0</v>
      </c>
      <c r="BC226" s="45">
        <f t="shared" si="7"/>
        <v>0</v>
      </c>
    </row>
    <row r="227" spans="1:55" ht="124.7" customHeight="1">
      <c r="A227" s="43" t="str">
        <f t="shared" si="0"/>
        <v>GM-1909Cblack</v>
      </c>
      <c r="B227" s="45" t="str">
        <f>IF(C227&lt;&gt;"",_xlfn.XLOOKUP(A227,'1C'!A:A,'1C'!B:B,MID(_xlfn.XLOOKUP(C227,'1C'!S:S,'1C'!B:B,"new",0),1,7)&amp;IF(BC227=1,IF(L227&lt;&gt;"",_xlfn.XLOOKUP(L227,Colors!A:A,Colors!B:B,"new",0),"требуется цвет"),""),0))</f>
        <v>06-477-09</v>
      </c>
      <c r="C227" s="44" t="s">
        <v>2258</v>
      </c>
      <c r="D227" s="43" t="str">
        <f>VLOOKUP(C227,Names!A:B,2,0)</f>
        <v>GM Camaro Raglan Bones</v>
      </c>
      <c r="E227" s="43" t="str">
        <f>IF(F227&lt;&gt;"",IFERROR(VLOOKUP(F227,Категории!A:B,2,0),""),"Требуется категория")</f>
        <v>Бейсболки</v>
      </c>
      <c r="F227" s="44" t="s">
        <v>356</v>
      </c>
      <c r="G227" s="44" t="s">
        <v>1358</v>
      </c>
      <c r="H227" s="44" t="s">
        <v>388</v>
      </c>
      <c r="J227" s="43" t="str">
        <f>'1C'!$AF$1</f>
        <v>American Needle</v>
      </c>
      <c r="K227" s="104" t="s">
        <v>819</v>
      </c>
      <c r="L227" s="59" t="str">
        <f>IF(K227&lt;&gt;"",IFERROR(VLOOKUP(A227,'1C'!A:T,8,0),IFERROR(VLOOKUP(K227,Colors!D:E,2,0),"")),"")</f>
        <v>черный</v>
      </c>
      <c r="M227" s="59" t="str">
        <f>IF(K227&lt;&gt;"",IFERROR(VLOOKUP(A227,'1C'!A:T,18,0),IFERROR(VLOOKUP(K227,Colors!D:E,2,0),"")),"")</f>
        <v>черный</v>
      </c>
      <c r="N227" s="141" t="str">
        <f>Order!B225</f>
        <v>100% Хлопок</v>
      </c>
      <c r="P227" s="44" t="s">
        <v>43</v>
      </c>
      <c r="Q227" s="59" t="s">
        <v>15</v>
      </c>
      <c r="R227" s="58" t="s">
        <v>382</v>
      </c>
      <c r="S227" s="44">
        <v>6</v>
      </c>
      <c r="AQ227" s="59">
        <f t="shared" si="1"/>
        <v>6</v>
      </c>
      <c r="AR227" s="66" t="str">
        <f>Order!A225</f>
        <v>BD</v>
      </c>
      <c r="AS227" s="56" t="str">
        <f ca="1">IF(BA227&gt;0,_xlfn.XLOOKUP(A227,'1C'!$A:$A,'1C'!P:P,"",0,),IF(AR227&lt;&gt;"",VLOOKUP(AR227,INDIRECT(SUBSTITUTE($J227," ","")&amp;"Manufactures"),3,0),"Требуется код страны"))</f>
        <v>American Needle, Inc; 1275 Busch Parkway, Buffalo Grove, IL 60089, USA</v>
      </c>
      <c r="AT227" s="56" t="str">
        <f ca="1">IF(BA227&gt;0,_xlfn.XLOOKUP(A227,'1C'!$A:$A,'1C'!O:O,"",0),IF(AR227&lt;&gt;"",VLOOKUP(AR227,INDIRECT(SUBSTITUTE($J227," ","")&amp;"Manufactures"),2,0),"Требуется код страны"))</f>
        <v>Бангладеш</v>
      </c>
      <c r="AU227" s="76">
        <f t="shared" si="2"/>
        <v>0.1</v>
      </c>
      <c r="AV227" s="43">
        <f t="shared" si="3"/>
        <v>0.15000000000000002</v>
      </c>
      <c r="AW227" s="43">
        <f t="shared" si="4"/>
        <v>0.60000000000000009</v>
      </c>
      <c r="AX227" s="43">
        <f t="shared" si="5"/>
        <v>0.90000000000000013</v>
      </c>
      <c r="AY227" s="155">
        <v>7.2250000000000005</v>
      </c>
      <c r="AZ227" s="156">
        <f t="shared" si="6"/>
        <v>43.35</v>
      </c>
      <c r="BA227" s="45">
        <f>IF(A227&lt;&gt;"",IF(_xlfn.XLOOKUP(A227,'1C'!A:A,'1C'!A:A,0,0)&gt;0,1,0),"")</f>
        <v>0</v>
      </c>
      <c r="BB227" s="150">
        <f>IF(C227&lt;&gt;"",IF(_xlfn.XLOOKUP(C227,'1C'!S:S,'1C'!S:S,0,0)&gt;0,0,1),"")</f>
        <v>0</v>
      </c>
      <c r="BC227" s="45">
        <f t="shared" si="7"/>
        <v>1</v>
      </c>
    </row>
    <row r="228" spans="1:55" ht="127.5" customHeight="1">
      <c r="A228" s="43" t="str">
        <f t="shared" si="0"/>
        <v>SMU277A-NASAblk</v>
      </c>
      <c r="B228" s="45" t="str">
        <f>IF(C228&lt;&gt;"",_xlfn.XLOOKUP(A228,'1C'!A:A,'1C'!B:B,MID(_xlfn.XLOOKUP(C228,'1C'!S:S,'1C'!B:B,"new",0),1,7)&amp;IF(BC228=1,IF(L228&lt;&gt;"",_xlfn.XLOOKUP(L228,Colors!A:A,Colors!B:B,"new",0),"требуется цвет"),""),0))</f>
        <v>06-124-09</v>
      </c>
      <c r="C228" s="44" t="s">
        <v>2259</v>
      </c>
      <c r="D228" s="43" t="str">
        <f>IF(A228&lt;&gt;"",_xlfn.XLOOKUP(C228,'1C'!S:S,'1C'!T:T,"",0),"")</f>
        <v>Space with NASA</v>
      </c>
      <c r="E228" s="43" t="str">
        <f>IF(F228&lt;&gt;"",IFERROR(VLOOKUP(F228,Категории!A:B,2,0),""),"Требуется категория")</f>
        <v>Бейсболки</v>
      </c>
      <c r="F228" s="43" t="str">
        <f>IF(A228&lt;&gt;"",IF(BA228&gt;0,_xlfn.XLOOKUP(A228,'1C'!A:A,'1C'!J:J,"",0),_xlfn.XLOOKUP(C228,'1C'!S:S,'1C'!J:J,"",0)),"")</f>
        <v>Бейсболка с сеточкой</v>
      </c>
      <c r="G228" s="43" t="str">
        <f>IF(C228&lt;&gt;"",IF(BA228&gt;0,_xlfn.XLOOKUP(A228,'1C'!A:A,'1C'!L:L,"",0),_xlfn.XLOOKUP(C228,'1C'!S:S,'1C'!L:L,"",0)),"")</f>
        <v>AMERICAN NEEDLE-Space</v>
      </c>
      <c r="H228" s="43" t="str">
        <f>IF(A228&lt;&gt;"",_xlfn.XLOOKUP(A228,'1C'!A:A,'1C'!M:M,_xlfn.XLOOKUP(C228,'1C'!S:S,'1C'!M:M,"",0),0))</f>
        <v>всесезон</v>
      </c>
      <c r="J228" s="43" t="str">
        <f>'1C'!$AF$1</f>
        <v>American Needle</v>
      </c>
      <c r="K228" s="104" t="s">
        <v>843</v>
      </c>
      <c r="L228" s="59" t="str">
        <f>IF(K228&lt;&gt;"",IFERROR(VLOOKUP(A228,'1C'!A:T,8,0),IFERROR(VLOOKUP(K228,Colors!D:E,2,0),"")),"")</f>
        <v>черный</v>
      </c>
      <c r="M228" s="59" t="str">
        <f>IF(K228&lt;&gt;"",IFERROR(VLOOKUP(A228,'1C'!A:T,18,0),IFERROR(VLOOKUP(K228,Colors!D:E,2,0),"")),"")</f>
        <v>черный</v>
      </c>
      <c r="N228" s="147" t="str">
        <f>IF(A228&lt;&gt;"",_xlfn.XLOOKUP(A228,'1C'!A:A,'1C'!I:I,_xlfn.XLOOKUP(C228,'1C'!S:S,'1C'!I:I,"",0),0),"")</f>
        <v>50% хлопок - 50% полиэстер</v>
      </c>
      <c r="P228" s="43" t="s">
        <v>43</v>
      </c>
      <c r="Q228" s="59" t="s">
        <v>15</v>
      </c>
      <c r="R228" s="43" t="str">
        <f>IF(A228&lt;&gt;"",_xlfn.XLOOKUP(A228,'1C'!A:A,'1C'!K:K,_xlfn.XLOOKUP(C228,'1C'!S:S,'1C'!K:K,"",0),0),"")</f>
        <v>Унисекс</v>
      </c>
      <c r="S228" s="44">
        <v>16</v>
      </c>
      <c r="AQ228" s="59">
        <f t="shared" si="1"/>
        <v>16</v>
      </c>
      <c r="AR228" s="43" t="str">
        <f>IF(A228&lt;&gt;"",_xlfn.XLOOKUP(_xlfn.XLOOKUP(A228,'1C'!A:A,'1C'!O:O,_xlfn.XLOOKUP(C228,'1C'!S:S,'1C'!O:O,"",0),0),Settings!N:N,Settings!O:O,"",0),"")</f>
        <v>BD</v>
      </c>
      <c r="AS228" s="56" t="str">
        <f ca="1">IF(BA228&gt;0,_xlfn.XLOOKUP(A228,'1C'!$A:$A,'1C'!P:P,"",0,),IF(AR228&lt;&gt;"",VLOOKUP(AR228,INDIRECT(SUBSTITUTE($J228," ","")&amp;"Manufactures"),3,0),"Требуется код страны"))</f>
        <v>American Needle, Inc; 1275 Busch Parkway, Buffalo Grove, IL 60089, USA</v>
      </c>
      <c r="AT228" s="56" t="str">
        <f ca="1">IF(BA228&gt;0,_xlfn.XLOOKUP(A228,'1C'!$A:$A,'1C'!O:O,"",0),IF(AR228&lt;&gt;"",VLOOKUP(AR228,INDIRECT(SUBSTITUTE($J228," ","")&amp;"Manufactures"),2,0),"Требуется код страны"))</f>
        <v>Бангладеш</v>
      </c>
      <c r="AU228" s="76">
        <f t="shared" si="2"/>
        <v>0.1</v>
      </c>
      <c r="AV228" s="43">
        <f t="shared" si="3"/>
        <v>0.15000000000000002</v>
      </c>
      <c r="AW228" s="43">
        <f t="shared" si="4"/>
        <v>1.6</v>
      </c>
      <c r="AX228" s="43">
        <f t="shared" si="5"/>
        <v>2.4000000000000004</v>
      </c>
      <c r="AY228" s="155">
        <v>7.2249999999999996</v>
      </c>
      <c r="AZ228" s="156">
        <f t="shared" si="6"/>
        <v>115.6</v>
      </c>
      <c r="BA228" s="45">
        <f>IF(A228&lt;&gt;"",IF(_xlfn.XLOOKUP(A228,'1C'!A:A,'1C'!A:A,0,0)&gt;0,1,0),"")</f>
        <v>1</v>
      </c>
      <c r="BB228" s="150">
        <f>IF(C228&lt;&gt;"",IF(_xlfn.XLOOKUP(C228,'1C'!S:S,'1C'!S:S,0,0)&gt;0,0,1),"")</f>
        <v>0</v>
      </c>
      <c r="BC228" s="45">
        <f t="shared" si="7"/>
        <v>0</v>
      </c>
    </row>
    <row r="229" spans="1:55" ht="129.4" customHeight="1">
      <c r="A229" s="43" t="str">
        <f t="shared" si="0"/>
        <v>SMU302A-RARObrick red</v>
      </c>
      <c r="B229" s="45" t="str">
        <f>IF(C229&lt;&gt;"",_xlfn.XLOOKUP(A229,'1C'!A:A,'1C'!B:B,MID(_xlfn.XLOOKUP(C229,'1C'!S:S,'1C'!B:B,"new",0),1,7)&amp;IF(BC229=1,IF(L229&lt;&gt;"",_xlfn.XLOOKUP(L229,Colors!A:A,Colors!B:B,"new",0),"требуется цвет"),""),0))</f>
        <v>06-478-18</v>
      </c>
      <c r="C229" s="44" t="s">
        <v>2260</v>
      </c>
      <c r="D229" s="43" t="str">
        <f>VLOOKUP(C229,Names!A:B,2,0)</f>
        <v>Rainbow Room Slouch</v>
      </c>
      <c r="E229" s="43" t="str">
        <f>IF(F229&lt;&gt;"",IFERROR(VLOOKUP(F229,Категории!A:B,2,0),""),"Требуется категория")</f>
        <v>Бейсболки</v>
      </c>
      <c r="F229" s="44" t="s">
        <v>2315</v>
      </c>
      <c r="G229" s="44" t="s">
        <v>2314</v>
      </c>
      <c r="H229" s="44" t="s">
        <v>388</v>
      </c>
      <c r="J229" s="43" t="str">
        <f>'1C'!$AF$1</f>
        <v>American Needle</v>
      </c>
      <c r="K229" s="104" t="s">
        <v>1731</v>
      </c>
      <c r="L229" s="58" t="s">
        <v>78</v>
      </c>
      <c r="M229" s="58" t="s">
        <v>78</v>
      </c>
      <c r="N229" s="141" t="str">
        <f>Order!B227</f>
        <v>100% Хлопок</v>
      </c>
      <c r="P229" s="44" t="s">
        <v>43</v>
      </c>
      <c r="Q229" s="59" t="s">
        <v>15</v>
      </c>
      <c r="R229" s="58" t="s">
        <v>382</v>
      </c>
      <c r="S229" s="44">
        <v>12</v>
      </c>
      <c r="AQ229" s="59">
        <f t="shared" si="1"/>
        <v>12</v>
      </c>
      <c r="AR229" s="66" t="str">
        <f>Order!A227</f>
        <v>BD</v>
      </c>
      <c r="AS229" s="56" t="str">
        <f ca="1">IF(BA229&gt;0,_xlfn.XLOOKUP(A229,'1C'!$A:$A,'1C'!P:P,"",0,),IF(AR229&lt;&gt;"",VLOOKUP(AR229,INDIRECT(SUBSTITUTE($J229," ","")&amp;"Manufactures"),3,0),"Требуется код страны"))</f>
        <v>American Needle, Inc; 1275 Busch Parkway, Buffalo Grove, IL 60089, USA</v>
      </c>
      <c r="AT229" s="56" t="str">
        <f ca="1">IF(BA229&gt;0,_xlfn.XLOOKUP(A229,'1C'!$A:$A,'1C'!O:O,"",0),IF(AR229&lt;&gt;"",VLOOKUP(AR229,INDIRECT(SUBSTITUTE($J229," ","")&amp;"Manufactures"),2,0),"Требуется код страны"))</f>
        <v>Бангладеш</v>
      </c>
      <c r="AU229" s="76">
        <f t="shared" si="2"/>
        <v>0.1</v>
      </c>
      <c r="AV229" s="43">
        <f t="shared" si="3"/>
        <v>0.15000000000000002</v>
      </c>
      <c r="AW229" s="43">
        <f t="shared" si="4"/>
        <v>1.2000000000000002</v>
      </c>
      <c r="AX229" s="43">
        <f t="shared" si="5"/>
        <v>1.8000000000000003</v>
      </c>
      <c r="AY229" s="155">
        <v>5.7374999999999998</v>
      </c>
      <c r="AZ229" s="156">
        <f t="shared" si="6"/>
        <v>68.849999999999994</v>
      </c>
      <c r="BA229" s="45">
        <f>IF(A229&lt;&gt;"",IF(_xlfn.XLOOKUP(A229,'1C'!A:A,'1C'!A:A,0,0)&gt;0,1,0),"")</f>
        <v>0</v>
      </c>
      <c r="BB229" s="150">
        <f>IF(C229&lt;&gt;"",IF(_xlfn.XLOOKUP(C229,'1C'!S:S,'1C'!S:S,0,0)&gt;0,0,1),"")</f>
        <v>0</v>
      </c>
      <c r="BC229" s="45">
        <f t="shared" si="7"/>
        <v>1</v>
      </c>
    </row>
    <row r="230" spans="1:55" ht="126.4" customHeight="1">
      <c r="A230" s="43" t="str">
        <f t="shared" si="0"/>
        <v>SMU500A-TAHOEgsbn</v>
      </c>
      <c r="B230" s="45" t="str">
        <f>IF(C230&lt;&gt;"",_xlfn.XLOOKUP(A230,'1C'!A:A,'1C'!B:B,MID(_xlfn.XLOOKUP(C230,'1C'!S:S,'1C'!B:B,"new",0),1,7)&amp;IF(BC230=1,IF(L230&lt;&gt;"",_xlfn.XLOOKUP(L230,Colors!A:A,Colors!B:B,"new",0),"требуется цвет"),""),0))</f>
        <v>06-128-06</v>
      </c>
      <c r="C230" s="44" t="s">
        <v>2261</v>
      </c>
      <c r="D230" s="43" t="str">
        <f>IF(A230&lt;&gt;"",_xlfn.XLOOKUP(C230,'1C'!S:S,'1C'!T:T,"",0),"")</f>
        <v>Lake Tahoe</v>
      </c>
      <c r="E230" s="43" t="str">
        <f>IF(F230&lt;&gt;"",IFERROR(VLOOKUP(F230,Категории!A:B,2,0),""),"Требуется категория")</f>
        <v>Бейсболки</v>
      </c>
      <c r="F230" s="43" t="str">
        <f>IF(A230&lt;&gt;"",IF(BA230&gt;0,_xlfn.XLOOKUP(A230,'1C'!A:A,'1C'!J:J,"",0),_xlfn.XLOOKUP(C230,'1C'!S:S,'1C'!J:J,"",0)),"")</f>
        <v>Бейсболка с сеточкой</v>
      </c>
      <c r="G230" s="43" t="str">
        <f>IF(C230&lt;&gt;"",IF(BA230&gt;0,_xlfn.XLOOKUP(A230,'1C'!A:A,'1C'!L:L,"",0),_xlfn.XLOOKUP(C230,'1C'!S:S,'1C'!L:L,"",0)),"")</f>
        <v>AMERICAN NEEDLE-State</v>
      </c>
      <c r="H230" s="43" t="str">
        <f>IF(A230&lt;&gt;"",_xlfn.XLOOKUP(A230,'1C'!A:A,'1C'!M:M,_xlfn.XLOOKUP(C230,'1C'!S:S,'1C'!M:M,"",0),0))</f>
        <v>всесезон</v>
      </c>
      <c r="J230" s="43" t="str">
        <f>'1C'!$AF$1</f>
        <v>American Needle</v>
      </c>
      <c r="K230" s="104" t="s">
        <v>1345</v>
      </c>
      <c r="L230" s="59" t="str">
        <f>IF(K230&lt;&gt;"",IFERROR(VLOOKUP(A230,'1C'!A:T,8,0),IFERROR(VLOOKUP(K230,Colors!D:E,2,0),"")),"")</f>
        <v>синий</v>
      </c>
      <c r="M230" s="59" t="str">
        <f>IF(K230&lt;&gt;"",IFERROR(VLOOKUP(A230,'1C'!A:T,18,0),IFERROR(VLOOKUP(K230,Colors!D:E,2,0),"")),"")</f>
        <v>синий</v>
      </c>
      <c r="N230" s="147" t="str">
        <f>IF(A230&lt;&gt;"",_xlfn.XLOOKUP(A230,'1C'!A:A,'1C'!I:I,_xlfn.XLOOKUP(C230,'1C'!S:S,'1C'!I:I,"",0),0),"")</f>
        <v>50% хлопок - 50% полиэстер</v>
      </c>
      <c r="P230" s="43" t="str">
        <f>IF(A230&lt;&gt;"",_xlfn.XLOOKUP(A230,'1C'!A:A,'1C'!N:N,_xlfn.XLOOKUP(C230,'1C'!S:S,'1C'!N:N,"",0),0),"")</f>
        <v>хлопковые</v>
      </c>
      <c r="Q230" s="59" t="s">
        <v>15</v>
      </c>
      <c r="R230" s="43" t="str">
        <f>IF(A230&lt;&gt;"",_xlfn.XLOOKUP(A230,'1C'!A:A,'1C'!K:K,_xlfn.XLOOKUP(C230,'1C'!S:S,'1C'!K:K,"",0),0),"")</f>
        <v>Унисекс</v>
      </c>
      <c r="S230" s="44">
        <v>34</v>
      </c>
      <c r="AQ230" s="59">
        <f t="shared" si="1"/>
        <v>34</v>
      </c>
      <c r="AR230" s="43" t="str">
        <f>IF(A230&lt;&gt;"",_xlfn.XLOOKUP(_xlfn.XLOOKUP(A230,'1C'!A:A,'1C'!O:O,_xlfn.XLOOKUP(C230,'1C'!S:S,'1C'!O:O,"",0),0),Settings!N:N,Settings!O:O,"",0),"")</f>
        <v>CN</v>
      </c>
      <c r="AS230" s="56" t="str">
        <f ca="1">IF(BA230&gt;0,_xlfn.XLOOKUP(A230,'1C'!$A:$A,'1C'!P:P,"",0,),IF(AR230&lt;&gt;"",VLOOKUP(AR230,INDIRECT(SUBSTITUTE($J230," ","")&amp;"Manufactures"),3,0),"Требуется код страны"))</f>
        <v>American Needle, Inc; 1275 Busch Parkway, Buffalo Grove, IL 60089, USA</v>
      </c>
      <c r="AT230" s="56" t="str">
        <f ca="1">IF(BA230&gt;0,_xlfn.XLOOKUP(A230,'1C'!$A:$A,'1C'!O:O,"",0),IF(AR230&lt;&gt;"",VLOOKUP(AR230,INDIRECT(SUBSTITUTE($J230," ","")&amp;"Manufactures"),2,0),"Требуется код страны"))</f>
        <v>Китай</v>
      </c>
      <c r="AU230" s="76">
        <f t="shared" si="2"/>
        <v>0.1</v>
      </c>
      <c r="AV230" s="43">
        <f t="shared" si="3"/>
        <v>0.15000000000000002</v>
      </c>
      <c r="AW230" s="43">
        <f t="shared" si="4"/>
        <v>3.4000000000000004</v>
      </c>
      <c r="AX230" s="43">
        <f t="shared" si="5"/>
        <v>5.1000000000000005</v>
      </c>
      <c r="AY230" s="155">
        <v>7.2250000000000005</v>
      </c>
      <c r="AZ230" s="156">
        <f t="shared" si="6"/>
        <v>245.65</v>
      </c>
      <c r="BA230" s="45">
        <f>IF(A230&lt;&gt;"",IF(_xlfn.XLOOKUP(A230,'1C'!A:A,'1C'!A:A,0,0)&gt;0,1,0),"")</f>
        <v>1</v>
      </c>
      <c r="BB230" s="150">
        <f>IF(C230&lt;&gt;"",IF(_xlfn.XLOOKUP(C230,'1C'!S:S,'1C'!S:S,0,0)&gt;0,0,1),"")</f>
        <v>0</v>
      </c>
      <c r="BC230" s="45">
        <f t="shared" si="7"/>
        <v>0</v>
      </c>
    </row>
  </sheetData>
  <sheetProtection formatColumns="0" formatRows="0" sort="0" autoFilter="0"/>
  <autoFilter ref="A1:BD230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BC2:BC356 AQ2:BA356 J2:R356 A2:H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3:H3 J3:BA3 Q3:Q230 D3:D18 A4:BA356">
    <cfRule type="expression" dxfId="23" priority="14">
      <formula>IF(УФ_Переключатель=1,IFERROR(TEXT(RIGHT(A1,255),"###"),TRUE))</formula>
    </cfRule>
  </conditionalFormatting>
  <conditionalFormatting sqref="A1:BC2 A3:H3 J3:BC3 Q3:Q230 D3:D18 A4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104 R107:R111 R114:R117 R120:R121 R123 R127 R132 R137:R139 R141:R142 R148 R150:R151 R153 R155:R157 R159 R161 R164 R168:R172 R174 R176 R181 R187:R188 R190 R192 R195:R197 R201:R203 R206:R209 R211:R220 R226 R228 R230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DB5BF-4DDB-4F05-882B-323296A57791}">
  <dimension ref="A1:B228"/>
  <sheetViews>
    <sheetView workbookViewId="0">
      <selection activeCell="D9" sqref="D9"/>
    </sheetView>
  </sheetViews>
  <sheetFormatPr defaultRowHeight="15"/>
  <cols>
    <col min="1" max="1" width="18" bestFit="1" customWidth="1"/>
    <col min="2" max="2" width="38.5703125" bestFit="1" customWidth="1"/>
  </cols>
  <sheetData>
    <row r="1" spans="1:2">
      <c r="A1" t="s">
        <v>2042</v>
      </c>
      <c r="B1" t="s">
        <v>2513</v>
      </c>
    </row>
    <row r="2" spans="1:2">
      <c r="A2" t="s">
        <v>2043</v>
      </c>
      <c r="B2" t="s">
        <v>2514</v>
      </c>
    </row>
    <row r="3" spans="1:2">
      <c r="A3" t="s">
        <v>2044</v>
      </c>
      <c r="B3" t="s">
        <v>2515</v>
      </c>
    </row>
    <row r="4" spans="1:2">
      <c r="A4" t="s">
        <v>2045</v>
      </c>
      <c r="B4" t="s">
        <v>2516</v>
      </c>
    </row>
    <row r="5" spans="1:2">
      <c r="A5" t="s">
        <v>2046</v>
      </c>
      <c r="B5" t="s">
        <v>2517</v>
      </c>
    </row>
    <row r="6" spans="1:2">
      <c r="A6" t="s">
        <v>2047</v>
      </c>
      <c r="B6" t="s">
        <v>2518</v>
      </c>
    </row>
    <row r="7" spans="1:2">
      <c r="A7" t="s">
        <v>2048</v>
      </c>
      <c r="B7" t="s">
        <v>2519</v>
      </c>
    </row>
    <row r="8" spans="1:2">
      <c r="A8" t="s">
        <v>2049</v>
      </c>
      <c r="B8" t="s">
        <v>2520</v>
      </c>
    </row>
    <row r="9" spans="1:2">
      <c r="A9" t="s">
        <v>2050</v>
      </c>
      <c r="B9" t="s">
        <v>2521</v>
      </c>
    </row>
    <row r="10" spans="1:2">
      <c r="A10" t="s">
        <v>2051</v>
      </c>
      <c r="B10" t="s">
        <v>2522</v>
      </c>
    </row>
    <row r="11" spans="1:2">
      <c r="A11" t="s">
        <v>2052</v>
      </c>
      <c r="B11" t="s">
        <v>2523</v>
      </c>
    </row>
    <row r="12" spans="1:2">
      <c r="A12" t="s">
        <v>2053</v>
      </c>
      <c r="B12" t="s">
        <v>2524</v>
      </c>
    </row>
    <row r="13" spans="1:2">
      <c r="A13" t="s">
        <v>2054</v>
      </c>
      <c r="B13" t="s">
        <v>2525</v>
      </c>
    </row>
    <row r="14" spans="1:2">
      <c r="A14" t="s">
        <v>2055</v>
      </c>
      <c r="B14" t="s">
        <v>2526</v>
      </c>
    </row>
    <row r="15" spans="1:2">
      <c r="A15" t="s">
        <v>2056</v>
      </c>
      <c r="B15" t="s">
        <v>2527</v>
      </c>
    </row>
    <row r="16" spans="1:2">
      <c r="A16" t="s">
        <v>2057</v>
      </c>
      <c r="B16" t="s">
        <v>2528</v>
      </c>
    </row>
    <row r="17" spans="1:2">
      <c r="A17" t="s">
        <v>2058</v>
      </c>
      <c r="B17" t="s">
        <v>2529</v>
      </c>
    </row>
    <row r="18" spans="1:2">
      <c r="A18" t="s">
        <v>2059</v>
      </c>
      <c r="B18" t="s">
        <v>2530</v>
      </c>
    </row>
    <row r="19" spans="1:2">
      <c r="A19" t="s">
        <v>2060</v>
      </c>
      <c r="B19" t="s">
        <v>2531</v>
      </c>
    </row>
    <row r="20" spans="1:2">
      <c r="A20" t="s">
        <v>2061</v>
      </c>
      <c r="B20" t="s">
        <v>2532</v>
      </c>
    </row>
    <row r="21" spans="1:2">
      <c r="A21" t="s">
        <v>2062</v>
      </c>
      <c r="B21" t="s">
        <v>2533</v>
      </c>
    </row>
    <row r="22" spans="1:2">
      <c r="A22" t="s">
        <v>2063</v>
      </c>
      <c r="B22" t="s">
        <v>2534</v>
      </c>
    </row>
    <row r="23" spans="1:2">
      <c r="A23" t="s">
        <v>2064</v>
      </c>
      <c r="B23" t="s">
        <v>2535</v>
      </c>
    </row>
    <row r="24" spans="1:2">
      <c r="A24" t="s">
        <v>2065</v>
      </c>
      <c r="B24" t="s">
        <v>2536</v>
      </c>
    </row>
    <row r="25" spans="1:2">
      <c r="A25" t="s">
        <v>2066</v>
      </c>
      <c r="B25" t="s">
        <v>2537</v>
      </c>
    </row>
    <row r="26" spans="1:2">
      <c r="A26" t="s">
        <v>2067</v>
      </c>
      <c r="B26" t="s">
        <v>2538</v>
      </c>
    </row>
    <row r="27" spans="1:2">
      <c r="A27" t="s">
        <v>2068</v>
      </c>
      <c r="B27" t="s">
        <v>2539</v>
      </c>
    </row>
    <row r="28" spans="1:2">
      <c r="A28" t="s">
        <v>2069</v>
      </c>
      <c r="B28" t="s">
        <v>2531</v>
      </c>
    </row>
    <row r="29" spans="1:2">
      <c r="A29" t="s">
        <v>2070</v>
      </c>
      <c r="B29" t="s">
        <v>2534</v>
      </c>
    </row>
    <row r="30" spans="1:2">
      <c r="A30" t="s">
        <v>2071</v>
      </c>
      <c r="B30" t="s">
        <v>2537</v>
      </c>
    </row>
    <row r="31" spans="1:2">
      <c r="A31" t="s">
        <v>2072</v>
      </c>
      <c r="B31" t="s">
        <v>2540</v>
      </c>
    </row>
    <row r="32" spans="1:2">
      <c r="A32" t="s">
        <v>2073</v>
      </c>
      <c r="B32" t="s">
        <v>2541</v>
      </c>
    </row>
    <row r="33" spans="1:2">
      <c r="A33" t="s">
        <v>2074</v>
      </c>
      <c r="B33" t="s">
        <v>2542</v>
      </c>
    </row>
    <row r="34" spans="1:2">
      <c r="A34" t="s">
        <v>2075</v>
      </c>
      <c r="B34" t="s">
        <v>2543</v>
      </c>
    </row>
    <row r="35" spans="1:2">
      <c r="A35" t="s">
        <v>2076</v>
      </c>
      <c r="B35" t="s">
        <v>2544</v>
      </c>
    </row>
    <row r="36" spans="1:2">
      <c r="A36" t="s">
        <v>2077</v>
      </c>
      <c r="B36" t="s">
        <v>2545</v>
      </c>
    </row>
    <row r="37" spans="1:2">
      <c r="A37" t="s">
        <v>2078</v>
      </c>
      <c r="B37" t="s">
        <v>2546</v>
      </c>
    </row>
    <row r="38" spans="1:2">
      <c r="A38" t="s">
        <v>2079</v>
      </c>
      <c r="B38" t="s">
        <v>2547</v>
      </c>
    </row>
    <row r="39" spans="1:2">
      <c r="A39" t="s">
        <v>2080</v>
      </c>
      <c r="B39" t="s">
        <v>2548</v>
      </c>
    </row>
    <row r="40" spans="1:2">
      <c r="A40" t="s">
        <v>2081</v>
      </c>
      <c r="B40" t="s">
        <v>2549</v>
      </c>
    </row>
    <row r="41" spans="1:2">
      <c r="A41" t="s">
        <v>2082</v>
      </c>
      <c r="B41" t="s">
        <v>2550</v>
      </c>
    </row>
    <row r="42" spans="1:2">
      <c r="A42" t="s">
        <v>2083</v>
      </c>
      <c r="B42" t="s">
        <v>2551</v>
      </c>
    </row>
    <row r="43" spans="1:2">
      <c r="A43" t="s">
        <v>2084</v>
      </c>
      <c r="B43" t="s">
        <v>2552</v>
      </c>
    </row>
    <row r="44" spans="1:2">
      <c r="A44" t="s">
        <v>2085</v>
      </c>
      <c r="B44" t="s">
        <v>2553</v>
      </c>
    </row>
    <row r="45" spans="1:2">
      <c r="A45" t="s">
        <v>2086</v>
      </c>
      <c r="B45" t="s">
        <v>2554</v>
      </c>
    </row>
    <row r="46" spans="1:2">
      <c r="A46" t="s">
        <v>2087</v>
      </c>
      <c r="B46" t="s">
        <v>2555</v>
      </c>
    </row>
    <row r="47" spans="1:2">
      <c r="A47" t="s">
        <v>2088</v>
      </c>
      <c r="B47" t="s">
        <v>2556</v>
      </c>
    </row>
    <row r="48" spans="1:2">
      <c r="A48" t="s">
        <v>2089</v>
      </c>
      <c r="B48" t="s">
        <v>2557</v>
      </c>
    </row>
    <row r="49" spans="1:2">
      <c r="A49" t="s">
        <v>2090</v>
      </c>
      <c r="B49" t="s">
        <v>2558</v>
      </c>
    </row>
    <row r="50" spans="1:2">
      <c r="A50" t="s">
        <v>2091</v>
      </c>
      <c r="B50" t="s">
        <v>2559</v>
      </c>
    </row>
    <row r="51" spans="1:2">
      <c r="A51" t="s">
        <v>2092</v>
      </c>
      <c r="B51" t="s">
        <v>2560</v>
      </c>
    </row>
    <row r="52" spans="1:2">
      <c r="A52" t="s">
        <v>2093</v>
      </c>
      <c r="B52" t="s">
        <v>2561</v>
      </c>
    </row>
    <row r="53" spans="1:2">
      <c r="A53" t="s">
        <v>2094</v>
      </c>
      <c r="B53" t="s">
        <v>2562</v>
      </c>
    </row>
    <row r="54" spans="1:2">
      <c r="A54" t="s">
        <v>2095</v>
      </c>
      <c r="B54" t="s">
        <v>2555</v>
      </c>
    </row>
    <row r="55" spans="1:2">
      <c r="A55" t="s">
        <v>2096</v>
      </c>
      <c r="B55" t="s">
        <v>2563</v>
      </c>
    </row>
    <row r="56" spans="1:2">
      <c r="A56" t="s">
        <v>2097</v>
      </c>
      <c r="B56" t="s">
        <v>2564</v>
      </c>
    </row>
    <row r="57" spans="1:2">
      <c r="A57" t="s">
        <v>2098</v>
      </c>
      <c r="B57" t="s">
        <v>2565</v>
      </c>
    </row>
    <row r="58" spans="1:2">
      <c r="A58" t="s">
        <v>2099</v>
      </c>
      <c r="B58" t="s">
        <v>2566</v>
      </c>
    </row>
    <row r="59" spans="1:2">
      <c r="A59" t="s">
        <v>2100</v>
      </c>
      <c r="B59" t="s">
        <v>2567</v>
      </c>
    </row>
    <row r="60" spans="1:2">
      <c r="A60" t="s">
        <v>2101</v>
      </c>
      <c r="B60" t="s">
        <v>2568</v>
      </c>
    </row>
    <row r="61" spans="1:2">
      <c r="A61" t="s">
        <v>2102</v>
      </c>
      <c r="B61" t="s">
        <v>2569</v>
      </c>
    </row>
    <row r="62" spans="1:2">
      <c r="A62" t="s">
        <v>2103</v>
      </c>
      <c r="B62" t="s">
        <v>2570</v>
      </c>
    </row>
    <row r="63" spans="1:2">
      <c r="A63" t="s">
        <v>2104</v>
      </c>
      <c r="B63" t="s">
        <v>2571</v>
      </c>
    </row>
    <row r="64" spans="1:2">
      <c r="A64" t="s">
        <v>2105</v>
      </c>
      <c r="B64" t="s">
        <v>2572</v>
      </c>
    </row>
    <row r="65" spans="1:2">
      <c r="A65" t="s">
        <v>2106</v>
      </c>
      <c r="B65" t="s">
        <v>2573</v>
      </c>
    </row>
    <row r="66" spans="1:2">
      <c r="A66" t="s">
        <v>2107</v>
      </c>
      <c r="B66" t="s">
        <v>2574</v>
      </c>
    </row>
    <row r="67" spans="1:2">
      <c r="A67" t="s">
        <v>2108</v>
      </c>
      <c r="B67" t="s">
        <v>2575</v>
      </c>
    </row>
    <row r="68" spans="1:2">
      <c r="A68" t="s">
        <v>2109</v>
      </c>
      <c r="B68" t="s">
        <v>2576</v>
      </c>
    </row>
    <row r="69" spans="1:2">
      <c r="A69" t="s">
        <v>2110</v>
      </c>
      <c r="B69" t="s">
        <v>2577</v>
      </c>
    </row>
    <row r="70" spans="1:2">
      <c r="A70" t="s">
        <v>2111</v>
      </c>
      <c r="B70" t="s">
        <v>2578</v>
      </c>
    </row>
    <row r="71" spans="1:2">
      <c r="A71" t="s">
        <v>2112</v>
      </c>
      <c r="B71" t="s">
        <v>2579</v>
      </c>
    </row>
    <row r="72" spans="1:2">
      <c r="A72" t="s">
        <v>2113</v>
      </c>
      <c r="B72" t="s">
        <v>2580</v>
      </c>
    </row>
    <row r="73" spans="1:2">
      <c r="A73" t="s">
        <v>2114</v>
      </c>
      <c r="B73" t="s">
        <v>2581</v>
      </c>
    </row>
    <row r="74" spans="1:2">
      <c r="A74" t="s">
        <v>2115</v>
      </c>
      <c r="B74" t="s">
        <v>2582</v>
      </c>
    </row>
    <row r="75" spans="1:2">
      <c r="A75" t="s">
        <v>2116</v>
      </c>
      <c r="B75" t="s">
        <v>2583</v>
      </c>
    </row>
    <row r="76" spans="1:2">
      <c r="A76" t="s">
        <v>2117</v>
      </c>
      <c r="B76" t="s">
        <v>2584</v>
      </c>
    </row>
    <row r="77" spans="1:2">
      <c r="A77" t="s">
        <v>2118</v>
      </c>
      <c r="B77" t="s">
        <v>2585</v>
      </c>
    </row>
    <row r="78" spans="1:2">
      <c r="A78" t="s">
        <v>2119</v>
      </c>
      <c r="B78" t="s">
        <v>2586</v>
      </c>
    </row>
    <row r="79" spans="1:2">
      <c r="A79" t="s">
        <v>2120</v>
      </c>
      <c r="B79" t="s">
        <v>2587</v>
      </c>
    </row>
    <row r="80" spans="1:2">
      <c r="A80" t="s">
        <v>2121</v>
      </c>
      <c r="B80" t="s">
        <v>2588</v>
      </c>
    </row>
    <row r="81" spans="1:2">
      <c r="A81" t="s">
        <v>2122</v>
      </c>
      <c r="B81" t="s">
        <v>2589</v>
      </c>
    </row>
    <row r="82" spans="1:2">
      <c r="A82" t="s">
        <v>2123</v>
      </c>
      <c r="B82" t="s">
        <v>2590</v>
      </c>
    </row>
    <row r="83" spans="1:2">
      <c r="A83" t="s">
        <v>2124</v>
      </c>
      <c r="B83" t="s">
        <v>2591</v>
      </c>
    </row>
    <row r="84" spans="1:2">
      <c r="A84" t="s">
        <v>2125</v>
      </c>
      <c r="B84" t="s">
        <v>2592</v>
      </c>
    </row>
    <row r="85" spans="1:2">
      <c r="A85" t="s">
        <v>2126</v>
      </c>
      <c r="B85" t="s">
        <v>2593</v>
      </c>
    </row>
    <row r="86" spans="1:2">
      <c r="A86" t="s">
        <v>2127</v>
      </c>
      <c r="B86" t="s">
        <v>2594</v>
      </c>
    </row>
    <row r="87" spans="1:2">
      <c r="A87" t="s">
        <v>2128</v>
      </c>
      <c r="B87" t="s">
        <v>2595</v>
      </c>
    </row>
    <row r="88" spans="1:2">
      <c r="A88" t="s">
        <v>2129</v>
      </c>
      <c r="B88" t="s">
        <v>2596</v>
      </c>
    </row>
    <row r="89" spans="1:2">
      <c r="A89" t="s">
        <v>2130</v>
      </c>
      <c r="B89" t="s">
        <v>2597</v>
      </c>
    </row>
    <row r="90" spans="1:2">
      <c r="A90" t="s">
        <v>2131</v>
      </c>
      <c r="B90" t="s">
        <v>2598</v>
      </c>
    </row>
    <row r="91" spans="1:2">
      <c r="A91" t="s">
        <v>2132</v>
      </c>
      <c r="B91" t="s">
        <v>2599</v>
      </c>
    </row>
    <row r="92" spans="1:2">
      <c r="A92" t="s">
        <v>2133</v>
      </c>
      <c r="B92" t="s">
        <v>2600</v>
      </c>
    </row>
    <row r="93" spans="1:2">
      <c r="A93" t="s">
        <v>2134</v>
      </c>
      <c r="B93" t="s">
        <v>2601</v>
      </c>
    </row>
    <row r="94" spans="1:2">
      <c r="A94" t="s">
        <v>2135</v>
      </c>
      <c r="B94" t="s">
        <v>2602</v>
      </c>
    </row>
    <row r="95" spans="1:2">
      <c r="A95" t="s">
        <v>2136</v>
      </c>
      <c r="B95" t="s">
        <v>2603</v>
      </c>
    </row>
    <row r="96" spans="1:2">
      <c r="A96" t="s">
        <v>2137</v>
      </c>
      <c r="B96" t="s">
        <v>2604</v>
      </c>
    </row>
    <row r="97" spans="1:2">
      <c r="A97" t="s">
        <v>2138</v>
      </c>
      <c r="B97" t="s">
        <v>2594</v>
      </c>
    </row>
    <row r="98" spans="1:2">
      <c r="A98" t="s">
        <v>2139</v>
      </c>
      <c r="B98" t="s">
        <v>2605</v>
      </c>
    </row>
    <row r="99" spans="1:2">
      <c r="A99" t="s">
        <v>2140</v>
      </c>
      <c r="B99" t="s">
        <v>2606</v>
      </c>
    </row>
    <row r="100" spans="1:2">
      <c r="A100" t="s">
        <v>2141</v>
      </c>
      <c r="B100" t="s">
        <v>2607</v>
      </c>
    </row>
    <row r="101" spans="1:2">
      <c r="A101" t="s">
        <v>2142</v>
      </c>
      <c r="B101" t="s">
        <v>2608</v>
      </c>
    </row>
    <row r="102" spans="1:2">
      <c r="A102" t="s">
        <v>2143</v>
      </c>
      <c r="B102" t="s">
        <v>2609</v>
      </c>
    </row>
    <row r="103" spans="1:2">
      <c r="A103" t="s">
        <v>2144</v>
      </c>
      <c r="B103" t="s">
        <v>2610</v>
      </c>
    </row>
    <row r="104" spans="1:2">
      <c r="A104" t="s">
        <v>2145</v>
      </c>
      <c r="B104" t="s">
        <v>2611</v>
      </c>
    </row>
    <row r="105" spans="1:2">
      <c r="A105" t="s">
        <v>2146</v>
      </c>
      <c r="B105" t="s">
        <v>2612</v>
      </c>
    </row>
    <row r="106" spans="1:2">
      <c r="A106" t="s">
        <v>2147</v>
      </c>
      <c r="B106" t="s">
        <v>2613</v>
      </c>
    </row>
    <row r="107" spans="1:2">
      <c r="A107" t="s">
        <v>2148</v>
      </c>
      <c r="B107" t="s">
        <v>2614</v>
      </c>
    </row>
    <row r="108" spans="1:2">
      <c r="A108" t="s">
        <v>2149</v>
      </c>
      <c r="B108" t="s">
        <v>2615</v>
      </c>
    </row>
    <row r="109" spans="1:2">
      <c r="A109" t="s">
        <v>2150</v>
      </c>
      <c r="B109" t="s">
        <v>2616</v>
      </c>
    </row>
    <row r="110" spans="1:2">
      <c r="A110" t="s">
        <v>2151</v>
      </c>
      <c r="B110" t="s">
        <v>2617</v>
      </c>
    </row>
    <row r="111" spans="1:2">
      <c r="A111" t="s">
        <v>2152</v>
      </c>
      <c r="B111" t="s">
        <v>2618</v>
      </c>
    </row>
    <row r="112" spans="1:2">
      <c r="A112" t="s">
        <v>2153</v>
      </c>
      <c r="B112" t="s">
        <v>2619</v>
      </c>
    </row>
    <row r="113" spans="1:2">
      <c r="A113" t="s">
        <v>2154</v>
      </c>
      <c r="B113" t="s">
        <v>2620</v>
      </c>
    </row>
    <row r="114" spans="1:2">
      <c r="A114" t="s">
        <v>2154</v>
      </c>
      <c r="B114" t="s">
        <v>2620</v>
      </c>
    </row>
    <row r="115" spans="1:2">
      <c r="A115" t="s">
        <v>2155</v>
      </c>
      <c r="B115" t="s">
        <v>2621</v>
      </c>
    </row>
    <row r="116" spans="1:2">
      <c r="A116" t="s">
        <v>2156</v>
      </c>
      <c r="B116" t="s">
        <v>2622</v>
      </c>
    </row>
    <row r="117" spans="1:2">
      <c r="A117" t="s">
        <v>2157</v>
      </c>
      <c r="B117" t="s">
        <v>2623</v>
      </c>
    </row>
    <row r="118" spans="1:2">
      <c r="A118" t="s">
        <v>2158</v>
      </c>
      <c r="B118" t="s">
        <v>2624</v>
      </c>
    </row>
    <row r="119" spans="1:2">
      <c r="A119" t="s">
        <v>2159</v>
      </c>
      <c r="B119" t="s">
        <v>2625</v>
      </c>
    </row>
    <row r="120" spans="1:2">
      <c r="A120" t="s">
        <v>2160</v>
      </c>
      <c r="B120" t="s">
        <v>2626</v>
      </c>
    </row>
    <row r="121" spans="1:2">
      <c r="A121" t="s">
        <v>2161</v>
      </c>
      <c r="B121" t="s">
        <v>2627</v>
      </c>
    </row>
    <row r="122" spans="1:2">
      <c r="A122" t="s">
        <v>2162</v>
      </c>
      <c r="B122" t="s">
        <v>2628</v>
      </c>
    </row>
    <row r="123" spans="1:2">
      <c r="A123" t="s">
        <v>2163</v>
      </c>
      <c r="B123" t="s">
        <v>2629</v>
      </c>
    </row>
    <row r="124" spans="1:2">
      <c r="A124" t="s">
        <v>2164</v>
      </c>
      <c r="B124" t="s">
        <v>2630</v>
      </c>
    </row>
    <row r="125" spans="1:2">
      <c r="A125" t="s">
        <v>2165</v>
      </c>
      <c r="B125" t="s">
        <v>2631</v>
      </c>
    </row>
    <row r="126" spans="1:2">
      <c r="A126" t="s">
        <v>2166</v>
      </c>
      <c r="B126" t="s">
        <v>2632</v>
      </c>
    </row>
    <row r="127" spans="1:2">
      <c r="A127" t="s">
        <v>2167</v>
      </c>
      <c r="B127" t="s">
        <v>2633</v>
      </c>
    </row>
    <row r="128" spans="1:2">
      <c r="A128" t="s">
        <v>2168</v>
      </c>
      <c r="B128" t="s">
        <v>2634</v>
      </c>
    </row>
    <row r="129" spans="1:2">
      <c r="A129" t="s">
        <v>2169</v>
      </c>
      <c r="B129" t="s">
        <v>2635</v>
      </c>
    </row>
    <row r="130" spans="1:2">
      <c r="A130" t="s">
        <v>2170</v>
      </c>
      <c r="B130" t="s">
        <v>2636</v>
      </c>
    </row>
    <row r="131" spans="1:2">
      <c r="A131" t="s">
        <v>2171</v>
      </c>
      <c r="B131" t="s">
        <v>2637</v>
      </c>
    </row>
    <row r="132" spans="1:2">
      <c r="A132" t="s">
        <v>2172</v>
      </c>
      <c r="B132" t="s">
        <v>2638</v>
      </c>
    </row>
    <row r="133" spans="1:2">
      <c r="A133" t="s">
        <v>2173</v>
      </c>
      <c r="B133" t="s">
        <v>2639</v>
      </c>
    </row>
    <row r="134" spans="1:2">
      <c r="A134" t="s">
        <v>2174</v>
      </c>
      <c r="B134" t="s">
        <v>2640</v>
      </c>
    </row>
    <row r="135" spans="1:2">
      <c r="A135" t="s">
        <v>2175</v>
      </c>
      <c r="B135" t="s">
        <v>2641</v>
      </c>
    </row>
    <row r="136" spans="1:2">
      <c r="A136" t="s">
        <v>2176</v>
      </c>
      <c r="B136" t="s">
        <v>2642</v>
      </c>
    </row>
    <row r="137" spans="1:2">
      <c r="A137" t="s">
        <v>2177</v>
      </c>
      <c r="B137" t="s">
        <v>2643</v>
      </c>
    </row>
    <row r="138" spans="1:2">
      <c r="A138" t="s">
        <v>2178</v>
      </c>
      <c r="B138" t="s">
        <v>2644</v>
      </c>
    </row>
    <row r="139" spans="1:2">
      <c r="A139" t="s">
        <v>2179</v>
      </c>
      <c r="B139" t="s">
        <v>2645</v>
      </c>
    </row>
    <row r="140" spans="1:2">
      <c r="A140" t="s">
        <v>2180</v>
      </c>
      <c r="B140" t="s">
        <v>2646</v>
      </c>
    </row>
    <row r="141" spans="1:2">
      <c r="A141" t="s">
        <v>2181</v>
      </c>
      <c r="B141" t="s">
        <v>2647</v>
      </c>
    </row>
    <row r="142" spans="1:2">
      <c r="A142" t="s">
        <v>2182</v>
      </c>
      <c r="B142" t="s">
        <v>2648</v>
      </c>
    </row>
    <row r="143" spans="1:2">
      <c r="A143" t="s">
        <v>2183</v>
      </c>
      <c r="B143" t="s">
        <v>2649</v>
      </c>
    </row>
    <row r="144" spans="1:2">
      <c r="A144" t="s">
        <v>2184</v>
      </c>
      <c r="B144" t="s">
        <v>2650</v>
      </c>
    </row>
    <row r="145" spans="1:2">
      <c r="A145" t="s">
        <v>2185</v>
      </c>
      <c r="B145" t="s">
        <v>2651</v>
      </c>
    </row>
    <row r="146" spans="1:2">
      <c r="A146" t="s">
        <v>2186</v>
      </c>
      <c r="B146" t="s">
        <v>2645</v>
      </c>
    </row>
    <row r="147" spans="1:2">
      <c r="A147" t="s">
        <v>2187</v>
      </c>
      <c r="B147" t="s">
        <v>2648</v>
      </c>
    </row>
    <row r="148" spans="1:2">
      <c r="A148" t="s">
        <v>2188</v>
      </c>
      <c r="B148" t="s">
        <v>2652</v>
      </c>
    </row>
    <row r="149" spans="1:2">
      <c r="A149" t="s">
        <v>2189</v>
      </c>
      <c r="B149" t="s">
        <v>2653</v>
      </c>
    </row>
    <row r="150" spans="1:2">
      <c r="A150" t="s">
        <v>2190</v>
      </c>
      <c r="B150" t="s">
        <v>2654</v>
      </c>
    </row>
    <row r="151" spans="1:2">
      <c r="A151" t="s">
        <v>2191</v>
      </c>
      <c r="B151" t="s">
        <v>2655</v>
      </c>
    </row>
    <row r="152" spans="1:2">
      <c r="A152" t="s">
        <v>2192</v>
      </c>
      <c r="B152" t="s">
        <v>2656</v>
      </c>
    </row>
    <row r="153" spans="1:2">
      <c r="A153" t="s">
        <v>2193</v>
      </c>
      <c r="B153" t="s">
        <v>2657</v>
      </c>
    </row>
    <row r="154" spans="1:2">
      <c r="A154" t="s">
        <v>2194</v>
      </c>
      <c r="B154" t="s">
        <v>2658</v>
      </c>
    </row>
    <row r="155" spans="1:2">
      <c r="A155" t="s">
        <v>2195</v>
      </c>
      <c r="B155" t="s">
        <v>2641</v>
      </c>
    </row>
    <row r="156" spans="1:2">
      <c r="A156" t="s">
        <v>2196</v>
      </c>
      <c r="B156" t="s">
        <v>2659</v>
      </c>
    </row>
    <row r="157" spans="1:2">
      <c r="A157" t="s">
        <v>2197</v>
      </c>
      <c r="B157" t="s">
        <v>2660</v>
      </c>
    </row>
    <row r="158" spans="1:2">
      <c r="A158" t="s">
        <v>2198</v>
      </c>
      <c r="B158" t="s">
        <v>2661</v>
      </c>
    </row>
    <row r="159" spans="1:2">
      <c r="A159" t="s">
        <v>2199</v>
      </c>
      <c r="B159" t="s">
        <v>2631</v>
      </c>
    </row>
    <row r="160" spans="1:2">
      <c r="A160" t="s">
        <v>2200</v>
      </c>
      <c r="B160" t="s">
        <v>2662</v>
      </c>
    </row>
    <row r="161" spans="1:2">
      <c r="A161" t="s">
        <v>2201</v>
      </c>
      <c r="B161" t="s">
        <v>2663</v>
      </c>
    </row>
    <row r="162" spans="1:2">
      <c r="A162" t="s">
        <v>2202</v>
      </c>
      <c r="B162" t="s">
        <v>2664</v>
      </c>
    </row>
    <row r="163" spans="1:2">
      <c r="A163" t="s">
        <v>2203</v>
      </c>
      <c r="B163" t="s">
        <v>2665</v>
      </c>
    </row>
    <row r="164" spans="1:2">
      <c r="A164" t="s">
        <v>2204</v>
      </c>
      <c r="B164" t="s">
        <v>2666</v>
      </c>
    </row>
    <row r="165" spans="1:2">
      <c r="A165" t="s">
        <v>2205</v>
      </c>
      <c r="B165" t="s">
        <v>2667</v>
      </c>
    </row>
    <row r="166" spans="1:2">
      <c r="A166" t="s">
        <v>2206</v>
      </c>
      <c r="B166" t="s">
        <v>2641</v>
      </c>
    </row>
    <row r="167" spans="1:2">
      <c r="A167" t="s">
        <v>2206</v>
      </c>
      <c r="B167" t="s">
        <v>2641</v>
      </c>
    </row>
    <row r="168" spans="1:2">
      <c r="A168" t="s">
        <v>2207</v>
      </c>
      <c r="B168" t="s">
        <v>2668</v>
      </c>
    </row>
    <row r="169" spans="1:2">
      <c r="A169" t="s">
        <v>2208</v>
      </c>
      <c r="B169" t="s">
        <v>2669</v>
      </c>
    </row>
    <row r="170" spans="1:2">
      <c r="A170" t="s">
        <v>2209</v>
      </c>
      <c r="B170" t="s">
        <v>2670</v>
      </c>
    </row>
    <row r="171" spans="1:2">
      <c r="A171" t="s">
        <v>2210</v>
      </c>
      <c r="B171" t="s">
        <v>2671</v>
      </c>
    </row>
    <row r="172" spans="1:2">
      <c r="A172" t="s">
        <v>2211</v>
      </c>
      <c r="B172" t="s">
        <v>2672</v>
      </c>
    </row>
    <row r="173" spans="1:2">
      <c r="A173" t="s">
        <v>2212</v>
      </c>
      <c r="B173" t="s">
        <v>2673</v>
      </c>
    </row>
    <row r="174" spans="1:2">
      <c r="A174" t="s">
        <v>2213</v>
      </c>
      <c r="B174" t="s">
        <v>2674</v>
      </c>
    </row>
    <row r="175" spans="1:2">
      <c r="A175" t="s">
        <v>2214</v>
      </c>
      <c r="B175" t="s">
        <v>2675</v>
      </c>
    </row>
    <row r="176" spans="1:2">
      <c r="A176" t="s">
        <v>2215</v>
      </c>
      <c r="B176" t="s">
        <v>2676</v>
      </c>
    </row>
    <row r="177" spans="1:2">
      <c r="A177" t="s">
        <v>2216</v>
      </c>
      <c r="B177" t="s">
        <v>2677</v>
      </c>
    </row>
    <row r="178" spans="1:2">
      <c r="A178" t="s">
        <v>2217</v>
      </c>
      <c r="B178" t="s">
        <v>2678</v>
      </c>
    </row>
    <row r="179" spans="1:2">
      <c r="A179" t="s">
        <v>2218</v>
      </c>
      <c r="B179" t="s">
        <v>2679</v>
      </c>
    </row>
    <row r="180" spans="1:2">
      <c r="A180" t="s">
        <v>2219</v>
      </c>
      <c r="B180" t="s">
        <v>2680</v>
      </c>
    </row>
    <row r="181" spans="1:2">
      <c r="A181" t="s">
        <v>2220</v>
      </c>
      <c r="B181" t="s">
        <v>2681</v>
      </c>
    </row>
    <row r="182" spans="1:2">
      <c r="A182" t="s">
        <v>2221</v>
      </c>
      <c r="B182" t="s">
        <v>2682</v>
      </c>
    </row>
    <row r="183" spans="1:2">
      <c r="A183" t="s">
        <v>2222</v>
      </c>
      <c r="B183" t="s">
        <v>2683</v>
      </c>
    </row>
    <row r="184" spans="1:2">
      <c r="A184" t="s">
        <v>2223</v>
      </c>
      <c r="B184" t="s">
        <v>2684</v>
      </c>
    </row>
    <row r="185" spans="1:2">
      <c r="A185" t="s">
        <v>2224</v>
      </c>
      <c r="B185" t="s">
        <v>2561</v>
      </c>
    </row>
    <row r="186" spans="1:2">
      <c r="A186" t="s">
        <v>2225</v>
      </c>
      <c r="B186" t="s">
        <v>2562</v>
      </c>
    </row>
    <row r="187" spans="1:2">
      <c r="A187" t="s">
        <v>2226</v>
      </c>
      <c r="B187" t="s">
        <v>2685</v>
      </c>
    </row>
    <row r="188" spans="1:2">
      <c r="A188" t="s">
        <v>2227</v>
      </c>
      <c r="B188" t="s">
        <v>2686</v>
      </c>
    </row>
    <row r="189" spans="1:2">
      <c r="A189" t="s">
        <v>2228</v>
      </c>
      <c r="B189" t="s">
        <v>2687</v>
      </c>
    </row>
    <row r="190" spans="1:2">
      <c r="A190" t="s">
        <v>2229</v>
      </c>
      <c r="B190" t="s">
        <v>2688</v>
      </c>
    </row>
    <row r="191" spans="1:2">
      <c r="A191" t="s">
        <v>2230</v>
      </c>
      <c r="B191" t="s">
        <v>2689</v>
      </c>
    </row>
    <row r="192" spans="1:2">
      <c r="A192" t="s">
        <v>2231</v>
      </c>
      <c r="B192" t="s">
        <v>2690</v>
      </c>
    </row>
    <row r="193" spans="1:2">
      <c r="A193" t="s">
        <v>2232</v>
      </c>
      <c r="B193" t="s">
        <v>2691</v>
      </c>
    </row>
    <row r="194" spans="1:2">
      <c r="A194" t="s">
        <v>2233</v>
      </c>
      <c r="B194" t="s">
        <v>2692</v>
      </c>
    </row>
    <row r="195" spans="1:2">
      <c r="A195" t="s">
        <v>2234</v>
      </c>
      <c r="B195" t="s">
        <v>2693</v>
      </c>
    </row>
    <row r="196" spans="1:2">
      <c r="A196" t="s">
        <v>2235</v>
      </c>
      <c r="B196" t="s">
        <v>2694</v>
      </c>
    </row>
    <row r="197" spans="1:2">
      <c r="A197" t="s">
        <v>2236</v>
      </c>
      <c r="B197" t="s">
        <v>2695</v>
      </c>
    </row>
    <row r="198" spans="1:2">
      <c r="A198" t="s">
        <v>2237</v>
      </c>
      <c r="B198" t="s">
        <v>2696</v>
      </c>
    </row>
    <row r="199" spans="1:2">
      <c r="A199" t="s">
        <v>2238</v>
      </c>
      <c r="B199" t="s">
        <v>2697</v>
      </c>
    </row>
    <row r="200" spans="1:2">
      <c r="A200" t="s">
        <v>2239</v>
      </c>
      <c r="B200" t="s">
        <v>2698</v>
      </c>
    </row>
    <row r="201" spans="1:2">
      <c r="A201" t="s">
        <v>2240</v>
      </c>
      <c r="B201" t="s">
        <v>2699</v>
      </c>
    </row>
    <row r="202" spans="1:2">
      <c r="A202" t="s">
        <v>2241</v>
      </c>
      <c r="B202" t="s">
        <v>2700</v>
      </c>
    </row>
    <row r="203" spans="1:2">
      <c r="A203" t="s">
        <v>2242</v>
      </c>
      <c r="B203" t="s">
        <v>2701</v>
      </c>
    </row>
    <row r="204" spans="1:2">
      <c r="A204" t="s">
        <v>2243</v>
      </c>
      <c r="B204" t="s">
        <v>2697</v>
      </c>
    </row>
    <row r="205" spans="1:2">
      <c r="A205" t="s">
        <v>2244</v>
      </c>
      <c r="B205" t="s">
        <v>2702</v>
      </c>
    </row>
    <row r="206" spans="1:2">
      <c r="A206" t="s">
        <v>2245</v>
      </c>
      <c r="B206" t="s">
        <v>2631</v>
      </c>
    </row>
    <row r="207" spans="1:2">
      <c r="A207" t="s">
        <v>2246</v>
      </c>
      <c r="B207" t="s">
        <v>2641</v>
      </c>
    </row>
    <row r="208" spans="1:2">
      <c r="A208" t="s">
        <v>2247</v>
      </c>
      <c r="B208" t="s">
        <v>2703</v>
      </c>
    </row>
    <row r="209" spans="1:2">
      <c r="A209" t="s">
        <v>2248</v>
      </c>
      <c r="B209" t="s">
        <v>2631</v>
      </c>
    </row>
    <row r="210" spans="1:2">
      <c r="A210" t="s">
        <v>2249</v>
      </c>
      <c r="B210" t="s">
        <v>2704</v>
      </c>
    </row>
    <row r="211" spans="1:2">
      <c r="A211" t="s">
        <v>2249</v>
      </c>
      <c r="B211" t="s">
        <v>2704</v>
      </c>
    </row>
    <row r="212" spans="1:2">
      <c r="A212" t="s">
        <v>2249</v>
      </c>
      <c r="B212" t="s">
        <v>2704</v>
      </c>
    </row>
    <row r="213" spans="1:2">
      <c r="A213" t="s">
        <v>2250</v>
      </c>
      <c r="B213" t="s">
        <v>2705</v>
      </c>
    </row>
    <row r="214" spans="1:2">
      <c r="A214" t="s">
        <v>2250</v>
      </c>
      <c r="B214" t="s">
        <v>2705</v>
      </c>
    </row>
    <row r="215" spans="1:2">
      <c r="A215" t="s">
        <v>2251</v>
      </c>
      <c r="B215" t="s">
        <v>2706</v>
      </c>
    </row>
    <row r="216" spans="1:2">
      <c r="A216" t="s">
        <v>2251</v>
      </c>
      <c r="B216" t="s">
        <v>2706</v>
      </c>
    </row>
    <row r="217" spans="1:2">
      <c r="A217" t="s">
        <v>2251</v>
      </c>
      <c r="B217" t="s">
        <v>2706</v>
      </c>
    </row>
    <row r="218" spans="1:2">
      <c r="A218" t="s">
        <v>2251</v>
      </c>
      <c r="B218" t="s">
        <v>2706</v>
      </c>
    </row>
    <row r="219" spans="1:2">
      <c r="A219" t="s">
        <v>2252</v>
      </c>
      <c r="B219" t="s">
        <v>2707</v>
      </c>
    </row>
    <row r="220" spans="1:2">
      <c r="A220" t="s">
        <v>2254</v>
      </c>
      <c r="B220" t="s">
        <v>2708</v>
      </c>
    </row>
    <row r="221" spans="1:2">
      <c r="A221" t="s">
        <v>2253</v>
      </c>
      <c r="B221" t="s">
        <v>2707</v>
      </c>
    </row>
    <row r="222" spans="1:2">
      <c r="A222" t="s">
        <v>2255</v>
      </c>
      <c r="B222" t="s">
        <v>2709</v>
      </c>
    </row>
    <row r="223" spans="1:2">
      <c r="A223" t="s">
        <v>2257</v>
      </c>
      <c r="B223" t="s">
        <v>2710</v>
      </c>
    </row>
    <row r="224" spans="1:2">
      <c r="A224" t="s">
        <v>2258</v>
      </c>
      <c r="B224" t="s">
        <v>2711</v>
      </c>
    </row>
    <row r="225" spans="1:2">
      <c r="A225" t="s">
        <v>2256</v>
      </c>
      <c r="B225" t="s">
        <v>2712</v>
      </c>
    </row>
    <row r="226" spans="1:2">
      <c r="A226" t="s">
        <v>2259</v>
      </c>
      <c r="B226" t="s">
        <v>2631</v>
      </c>
    </row>
    <row r="227" spans="1:2">
      <c r="A227" t="s">
        <v>2260</v>
      </c>
      <c r="B227" t="s">
        <v>2713</v>
      </c>
    </row>
    <row r="228" spans="1:2">
      <c r="A228" t="s">
        <v>2261</v>
      </c>
      <c r="B228" t="s">
        <v>2714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1B7D3-BA5F-4A22-99E0-F3A1FFE82FFC}">
  <dimension ref="A1:C228"/>
  <sheetViews>
    <sheetView workbookViewId="0">
      <selection activeCell="C1" sqref="C1:C228"/>
    </sheetView>
  </sheetViews>
  <sheetFormatPr defaultRowHeight="15"/>
  <cols>
    <col min="2" max="2" width="39.28515625" bestFit="1" customWidth="1"/>
    <col min="3" max="3" width="37" bestFit="1" customWidth="1"/>
  </cols>
  <sheetData>
    <row r="1" spans="1:3">
      <c r="A1" t="s">
        <v>572</v>
      </c>
      <c r="B1" t="s">
        <v>2304</v>
      </c>
      <c r="C1" t="s">
        <v>2317</v>
      </c>
    </row>
    <row r="2" spans="1:3">
      <c r="A2" t="s">
        <v>572</v>
      </c>
      <c r="B2" t="s">
        <v>2304</v>
      </c>
      <c r="C2" t="s">
        <v>2317</v>
      </c>
    </row>
    <row r="3" spans="1:3">
      <c r="A3" t="s">
        <v>572</v>
      </c>
      <c r="B3" t="s">
        <v>2304</v>
      </c>
      <c r="C3" t="s">
        <v>2317</v>
      </c>
    </row>
    <row r="4" spans="1:3">
      <c r="A4" t="s">
        <v>572</v>
      </c>
      <c r="B4" t="s">
        <v>2304</v>
      </c>
      <c r="C4" t="s">
        <v>2317</v>
      </c>
    </row>
    <row r="5" spans="1:3">
      <c r="A5" t="s">
        <v>572</v>
      </c>
      <c r="B5" t="s">
        <v>2304</v>
      </c>
      <c r="C5" t="s">
        <v>2317</v>
      </c>
    </row>
    <row r="6" spans="1:3">
      <c r="A6" t="s">
        <v>572</v>
      </c>
      <c r="B6" t="s">
        <v>2304</v>
      </c>
      <c r="C6" t="s">
        <v>2317</v>
      </c>
    </row>
    <row r="7" spans="1:3">
      <c r="A7" t="s">
        <v>572</v>
      </c>
      <c r="B7" t="s">
        <v>2304</v>
      </c>
      <c r="C7" t="s">
        <v>2317</v>
      </c>
    </row>
    <row r="8" spans="1:3">
      <c r="A8" t="s">
        <v>572</v>
      </c>
      <c r="B8" t="s">
        <v>2304</v>
      </c>
      <c r="C8" t="s">
        <v>2317</v>
      </c>
    </row>
    <row r="9" spans="1:3">
      <c r="A9" t="s">
        <v>423</v>
      </c>
      <c r="B9" t="s">
        <v>2305</v>
      </c>
      <c r="C9" t="s">
        <v>2318</v>
      </c>
    </row>
    <row r="10" spans="1:3">
      <c r="A10" t="s">
        <v>423</v>
      </c>
      <c r="B10" t="s">
        <v>2305</v>
      </c>
      <c r="C10" t="s">
        <v>2318</v>
      </c>
    </row>
    <row r="11" spans="1:3">
      <c r="A11" t="s">
        <v>423</v>
      </c>
      <c r="B11" t="s">
        <v>2305</v>
      </c>
      <c r="C11" t="s">
        <v>2318</v>
      </c>
    </row>
    <row r="12" spans="1:3">
      <c r="A12" t="s">
        <v>423</v>
      </c>
      <c r="B12" t="s">
        <v>2305</v>
      </c>
      <c r="C12" t="s">
        <v>2318</v>
      </c>
    </row>
    <row r="13" spans="1:3">
      <c r="A13" t="s">
        <v>423</v>
      </c>
      <c r="B13" t="s">
        <v>2305</v>
      </c>
      <c r="C13" t="s">
        <v>2318</v>
      </c>
    </row>
    <row r="14" spans="1:3">
      <c r="A14" t="s">
        <v>423</v>
      </c>
      <c r="B14" t="s">
        <v>2304</v>
      </c>
      <c r="C14" t="s">
        <v>2319</v>
      </c>
    </row>
    <row r="15" spans="1:3">
      <c r="A15" t="s">
        <v>423</v>
      </c>
      <c r="B15" t="s">
        <v>2304</v>
      </c>
      <c r="C15" t="s">
        <v>2319</v>
      </c>
    </row>
    <row r="16" spans="1:3">
      <c r="A16" t="s">
        <v>423</v>
      </c>
      <c r="B16" t="s">
        <v>2304</v>
      </c>
      <c r="C16" t="s">
        <v>2319</v>
      </c>
    </row>
    <row r="17" spans="1:3">
      <c r="A17" t="s">
        <v>572</v>
      </c>
      <c r="B17" t="s">
        <v>2304</v>
      </c>
      <c r="C17" t="s">
        <v>2320</v>
      </c>
    </row>
    <row r="18" spans="1:3">
      <c r="A18" t="s">
        <v>572</v>
      </c>
      <c r="B18" t="s">
        <v>2304</v>
      </c>
      <c r="C18" t="s">
        <v>2321</v>
      </c>
    </row>
    <row r="19" spans="1:3">
      <c r="A19" t="s">
        <v>572</v>
      </c>
      <c r="B19" t="s">
        <v>2304</v>
      </c>
      <c r="C19" t="s">
        <v>2321</v>
      </c>
    </row>
    <row r="20" spans="1:3">
      <c r="A20" t="s">
        <v>572</v>
      </c>
      <c r="B20" t="s">
        <v>2304</v>
      </c>
      <c r="C20" t="s">
        <v>2321</v>
      </c>
    </row>
    <row r="21" spans="1:3">
      <c r="A21" t="s">
        <v>572</v>
      </c>
      <c r="B21" t="s">
        <v>2304</v>
      </c>
      <c r="C21" t="s">
        <v>2320</v>
      </c>
    </row>
    <row r="22" spans="1:3">
      <c r="A22" t="s">
        <v>572</v>
      </c>
      <c r="B22" t="s">
        <v>2304</v>
      </c>
      <c r="C22" t="s">
        <v>2321</v>
      </c>
    </row>
    <row r="23" spans="1:3">
      <c r="A23" t="s">
        <v>572</v>
      </c>
      <c r="B23" t="s">
        <v>2304</v>
      </c>
      <c r="C23" t="s">
        <v>2321</v>
      </c>
    </row>
    <row r="24" spans="1:3">
      <c r="A24" t="s">
        <v>572</v>
      </c>
      <c r="B24" t="s">
        <v>2304</v>
      </c>
      <c r="C24" t="s">
        <v>2320</v>
      </c>
    </row>
    <row r="25" spans="1:3">
      <c r="A25" t="s">
        <v>572</v>
      </c>
      <c r="B25" t="s">
        <v>2304</v>
      </c>
      <c r="C25" t="s">
        <v>2321</v>
      </c>
    </row>
    <row r="26" spans="1:3">
      <c r="A26" t="s">
        <v>572</v>
      </c>
      <c r="B26" t="s">
        <v>2304</v>
      </c>
      <c r="C26" t="s">
        <v>2321</v>
      </c>
    </row>
    <row r="27" spans="1:3">
      <c r="A27" t="s">
        <v>572</v>
      </c>
      <c r="B27" t="s">
        <v>2304</v>
      </c>
      <c r="C27" t="s">
        <v>2321</v>
      </c>
    </row>
    <row r="28" spans="1:3">
      <c r="A28" t="s">
        <v>572</v>
      </c>
      <c r="B28" t="s">
        <v>2304</v>
      </c>
      <c r="C28" t="s">
        <v>2321</v>
      </c>
    </row>
    <row r="29" spans="1:3">
      <c r="A29" t="s">
        <v>572</v>
      </c>
      <c r="B29" t="s">
        <v>2304</v>
      </c>
      <c r="C29" t="s">
        <v>2321</v>
      </c>
    </row>
    <row r="30" spans="1:3">
      <c r="A30" t="s">
        <v>572</v>
      </c>
      <c r="B30" t="s">
        <v>2304</v>
      </c>
      <c r="C30" t="s">
        <v>2321</v>
      </c>
    </row>
    <row r="31" spans="1:3">
      <c r="A31" t="s">
        <v>423</v>
      </c>
      <c r="B31" t="s">
        <v>2306</v>
      </c>
      <c r="C31" t="s">
        <v>2322</v>
      </c>
    </row>
    <row r="32" spans="1:3">
      <c r="A32" t="s">
        <v>423</v>
      </c>
      <c r="B32" t="s">
        <v>2306</v>
      </c>
      <c r="C32" t="s">
        <v>2322</v>
      </c>
    </row>
    <row r="33" spans="1:3">
      <c r="A33" t="s">
        <v>423</v>
      </c>
      <c r="B33" t="s">
        <v>2306</v>
      </c>
      <c r="C33" t="s">
        <v>2322</v>
      </c>
    </row>
    <row r="34" spans="1:3">
      <c r="A34" t="s">
        <v>423</v>
      </c>
      <c r="B34" t="s">
        <v>2306</v>
      </c>
      <c r="C34" t="s">
        <v>2322</v>
      </c>
    </row>
    <row r="35" spans="1:3">
      <c r="A35" t="s">
        <v>423</v>
      </c>
      <c r="B35" t="s">
        <v>2306</v>
      </c>
      <c r="C35" t="s">
        <v>2322</v>
      </c>
    </row>
    <row r="36" spans="1:3">
      <c r="A36" t="s">
        <v>423</v>
      </c>
      <c r="B36" t="s">
        <v>2306</v>
      </c>
      <c r="C36" t="s">
        <v>2322</v>
      </c>
    </row>
    <row r="37" spans="1:3">
      <c r="A37" t="s">
        <v>423</v>
      </c>
      <c r="B37" t="s">
        <v>2306</v>
      </c>
      <c r="C37" t="s">
        <v>2323</v>
      </c>
    </row>
    <row r="38" spans="1:3">
      <c r="A38" t="s">
        <v>423</v>
      </c>
      <c r="B38" t="s">
        <v>2306</v>
      </c>
      <c r="C38" t="s">
        <v>2322</v>
      </c>
    </row>
    <row r="39" spans="1:3">
      <c r="A39" t="s">
        <v>423</v>
      </c>
      <c r="B39" t="s">
        <v>2306</v>
      </c>
      <c r="C39" t="s">
        <v>2324</v>
      </c>
    </row>
    <row r="40" spans="1:3">
      <c r="A40" t="s">
        <v>423</v>
      </c>
      <c r="B40" t="s">
        <v>2306</v>
      </c>
      <c r="C40" t="s">
        <v>2322</v>
      </c>
    </row>
    <row r="41" spans="1:3">
      <c r="A41" t="s">
        <v>423</v>
      </c>
      <c r="B41" t="s">
        <v>2306</v>
      </c>
      <c r="C41" t="s">
        <v>2325</v>
      </c>
    </row>
    <row r="42" spans="1:3">
      <c r="A42" t="s">
        <v>423</v>
      </c>
      <c r="B42" t="s">
        <v>2306</v>
      </c>
      <c r="C42" t="s">
        <v>2322</v>
      </c>
    </row>
    <row r="43" spans="1:3">
      <c r="A43" t="s">
        <v>423</v>
      </c>
      <c r="B43" t="s">
        <v>2306</v>
      </c>
      <c r="C43" t="s">
        <v>2322</v>
      </c>
    </row>
    <row r="44" spans="1:3">
      <c r="A44" t="s">
        <v>423</v>
      </c>
      <c r="B44" t="s">
        <v>2306</v>
      </c>
      <c r="C44" t="s">
        <v>2322</v>
      </c>
    </row>
    <row r="45" spans="1:3">
      <c r="A45" t="s">
        <v>423</v>
      </c>
      <c r="B45" t="s">
        <v>2306</v>
      </c>
      <c r="C45" t="s">
        <v>2322</v>
      </c>
    </row>
    <row r="46" spans="1:3">
      <c r="A46" t="s">
        <v>423</v>
      </c>
      <c r="B46" t="s">
        <v>2306</v>
      </c>
      <c r="C46" t="s">
        <v>2322</v>
      </c>
    </row>
    <row r="47" spans="1:3">
      <c r="A47" t="s">
        <v>423</v>
      </c>
      <c r="B47" t="s">
        <v>2306</v>
      </c>
      <c r="C47" t="s">
        <v>2322</v>
      </c>
    </row>
    <row r="48" spans="1:3">
      <c r="A48" t="s">
        <v>423</v>
      </c>
      <c r="B48" t="s">
        <v>2306</v>
      </c>
      <c r="C48" t="s">
        <v>2322</v>
      </c>
    </row>
    <row r="49" spans="1:3">
      <c r="A49" t="s">
        <v>423</v>
      </c>
      <c r="B49" t="s">
        <v>2306</v>
      </c>
      <c r="C49" t="s">
        <v>2322</v>
      </c>
    </row>
    <row r="50" spans="1:3">
      <c r="A50" t="s">
        <v>423</v>
      </c>
      <c r="B50" t="s">
        <v>2306</v>
      </c>
      <c r="C50" t="s">
        <v>2322</v>
      </c>
    </row>
    <row r="51" spans="1:3">
      <c r="A51" t="s">
        <v>423</v>
      </c>
      <c r="B51" t="s">
        <v>2306</v>
      </c>
      <c r="C51" t="s">
        <v>2322</v>
      </c>
    </row>
    <row r="52" spans="1:3">
      <c r="A52" t="s">
        <v>423</v>
      </c>
      <c r="B52" t="s">
        <v>2306</v>
      </c>
      <c r="C52" t="s">
        <v>2322</v>
      </c>
    </row>
    <row r="53" spans="1:3">
      <c r="A53" t="s">
        <v>423</v>
      </c>
      <c r="B53" t="s">
        <v>2306</v>
      </c>
      <c r="C53" t="s">
        <v>2322</v>
      </c>
    </row>
    <row r="54" spans="1:3">
      <c r="A54" t="s">
        <v>423</v>
      </c>
      <c r="B54" t="s">
        <v>2306</v>
      </c>
      <c r="C54" t="s">
        <v>2322</v>
      </c>
    </row>
    <row r="55" spans="1:3">
      <c r="A55" t="s">
        <v>423</v>
      </c>
      <c r="B55" t="s">
        <v>2306</v>
      </c>
      <c r="C55" t="s">
        <v>2326</v>
      </c>
    </row>
    <row r="56" spans="1:3">
      <c r="A56" t="s">
        <v>423</v>
      </c>
      <c r="B56" t="s">
        <v>2306</v>
      </c>
      <c r="C56" t="s">
        <v>2327</v>
      </c>
    </row>
    <row r="57" spans="1:3">
      <c r="A57" t="s">
        <v>423</v>
      </c>
      <c r="B57" t="s">
        <v>2304</v>
      </c>
      <c r="C57" t="s">
        <v>2328</v>
      </c>
    </row>
    <row r="58" spans="1:3">
      <c r="A58" t="s">
        <v>572</v>
      </c>
      <c r="B58" t="s">
        <v>2311</v>
      </c>
      <c r="C58" t="s">
        <v>2329</v>
      </c>
    </row>
    <row r="59" spans="1:3">
      <c r="A59" t="s">
        <v>572</v>
      </c>
      <c r="B59" t="s">
        <v>2304</v>
      </c>
      <c r="C59" t="s">
        <v>2330</v>
      </c>
    </row>
    <row r="60" spans="1:3">
      <c r="A60" t="s">
        <v>572</v>
      </c>
      <c r="B60" t="s">
        <v>2304</v>
      </c>
      <c r="C60" t="s">
        <v>2330</v>
      </c>
    </row>
    <row r="61" spans="1:3">
      <c r="A61" t="s">
        <v>572</v>
      </c>
      <c r="B61" t="s">
        <v>2304</v>
      </c>
      <c r="C61" t="s">
        <v>2330</v>
      </c>
    </row>
    <row r="62" spans="1:3">
      <c r="A62" t="s">
        <v>572</v>
      </c>
      <c r="B62" t="s">
        <v>2304</v>
      </c>
      <c r="C62" t="s">
        <v>2330</v>
      </c>
    </row>
    <row r="63" spans="1:3">
      <c r="A63" t="s">
        <v>572</v>
      </c>
      <c r="B63" t="s">
        <v>2304</v>
      </c>
      <c r="C63" t="s">
        <v>2330</v>
      </c>
    </row>
    <row r="64" spans="1:3">
      <c r="A64" t="s">
        <v>572</v>
      </c>
      <c r="B64" t="s">
        <v>2304</v>
      </c>
      <c r="C64" t="s">
        <v>2330</v>
      </c>
    </row>
    <row r="65" spans="1:3">
      <c r="A65" t="s">
        <v>572</v>
      </c>
      <c r="B65" t="s">
        <v>2304</v>
      </c>
      <c r="C65" t="s">
        <v>2330</v>
      </c>
    </row>
    <row r="66" spans="1:3">
      <c r="A66" t="s">
        <v>572</v>
      </c>
      <c r="B66" t="s">
        <v>2304</v>
      </c>
      <c r="C66" t="s">
        <v>2330</v>
      </c>
    </row>
    <row r="67" spans="1:3">
      <c r="A67" t="s">
        <v>572</v>
      </c>
      <c r="B67" t="s">
        <v>2304</v>
      </c>
      <c r="C67" t="s">
        <v>2330</v>
      </c>
    </row>
    <row r="68" spans="1:3">
      <c r="A68" t="s">
        <v>572</v>
      </c>
      <c r="B68" t="s">
        <v>2304</v>
      </c>
      <c r="C68" t="s">
        <v>2330</v>
      </c>
    </row>
    <row r="69" spans="1:3">
      <c r="A69" t="s">
        <v>572</v>
      </c>
      <c r="B69" t="s">
        <v>2304</v>
      </c>
      <c r="C69" t="s">
        <v>2330</v>
      </c>
    </row>
    <row r="70" spans="1:3">
      <c r="A70" t="s">
        <v>423</v>
      </c>
      <c r="B70" t="s">
        <v>2304</v>
      </c>
      <c r="C70" t="s">
        <v>2331</v>
      </c>
    </row>
    <row r="71" spans="1:3">
      <c r="A71" t="s">
        <v>423</v>
      </c>
      <c r="B71" t="s">
        <v>2304</v>
      </c>
      <c r="C71" t="s">
        <v>2331</v>
      </c>
    </row>
    <row r="72" spans="1:3">
      <c r="A72" t="s">
        <v>423</v>
      </c>
      <c r="B72" t="s">
        <v>2304</v>
      </c>
      <c r="C72" t="s">
        <v>2331</v>
      </c>
    </row>
    <row r="73" spans="1:3">
      <c r="A73" t="s">
        <v>423</v>
      </c>
      <c r="B73" t="s">
        <v>2304</v>
      </c>
      <c r="C73" t="s">
        <v>2331</v>
      </c>
    </row>
    <row r="74" spans="1:3">
      <c r="A74" t="s">
        <v>423</v>
      </c>
      <c r="B74" t="s">
        <v>2307</v>
      </c>
      <c r="C74" t="s">
        <v>2332</v>
      </c>
    </row>
    <row r="75" spans="1:3">
      <c r="A75" t="s">
        <v>423</v>
      </c>
      <c r="B75" t="s">
        <v>2307</v>
      </c>
      <c r="C75" t="s">
        <v>2332</v>
      </c>
    </row>
    <row r="76" spans="1:3">
      <c r="A76" t="s">
        <v>423</v>
      </c>
      <c r="B76" t="s">
        <v>2307</v>
      </c>
      <c r="C76" t="s">
        <v>2332</v>
      </c>
    </row>
    <row r="77" spans="1:3">
      <c r="A77" t="s">
        <v>423</v>
      </c>
      <c r="B77" t="s">
        <v>2307</v>
      </c>
      <c r="C77" t="s">
        <v>2332</v>
      </c>
    </row>
    <row r="78" spans="1:3">
      <c r="A78" t="s">
        <v>423</v>
      </c>
      <c r="B78" t="s">
        <v>2307</v>
      </c>
      <c r="C78" t="s">
        <v>2332</v>
      </c>
    </row>
    <row r="79" spans="1:3">
      <c r="A79" t="s">
        <v>423</v>
      </c>
      <c r="B79" t="s">
        <v>2307</v>
      </c>
      <c r="C79" t="s">
        <v>2332</v>
      </c>
    </row>
    <row r="80" spans="1:3">
      <c r="A80" t="s">
        <v>423</v>
      </c>
      <c r="B80" t="s">
        <v>2307</v>
      </c>
      <c r="C80" t="s">
        <v>2332</v>
      </c>
    </row>
    <row r="81" spans="1:3">
      <c r="A81" t="s">
        <v>423</v>
      </c>
      <c r="B81" t="s">
        <v>2307</v>
      </c>
      <c r="C81" t="s">
        <v>2332</v>
      </c>
    </row>
    <row r="82" spans="1:3">
      <c r="A82" t="s">
        <v>423</v>
      </c>
      <c r="B82" t="s">
        <v>2307</v>
      </c>
      <c r="C82" t="s">
        <v>2332</v>
      </c>
    </row>
    <row r="83" spans="1:3">
      <c r="A83" t="s">
        <v>423</v>
      </c>
      <c r="B83" t="s">
        <v>2307</v>
      </c>
      <c r="C83" t="s">
        <v>2332</v>
      </c>
    </row>
    <row r="84" spans="1:3">
      <c r="A84" t="s">
        <v>423</v>
      </c>
      <c r="B84" t="s">
        <v>2307</v>
      </c>
      <c r="C84" t="s">
        <v>2332</v>
      </c>
    </row>
    <row r="85" spans="1:3">
      <c r="A85" t="s">
        <v>423</v>
      </c>
      <c r="B85" t="s">
        <v>2307</v>
      </c>
      <c r="C85" t="s">
        <v>2332</v>
      </c>
    </row>
    <row r="86" spans="1:3">
      <c r="A86" t="s">
        <v>423</v>
      </c>
      <c r="B86" t="s">
        <v>2307</v>
      </c>
      <c r="C86" t="s">
        <v>2332</v>
      </c>
    </row>
    <row r="87" spans="1:3">
      <c r="A87" t="s">
        <v>423</v>
      </c>
      <c r="B87" t="s">
        <v>2307</v>
      </c>
      <c r="C87" t="s">
        <v>2332</v>
      </c>
    </row>
    <row r="88" spans="1:3">
      <c r="A88" t="s">
        <v>423</v>
      </c>
      <c r="B88" t="s">
        <v>2307</v>
      </c>
      <c r="C88" t="s">
        <v>2332</v>
      </c>
    </row>
    <row r="89" spans="1:3">
      <c r="A89" t="s">
        <v>423</v>
      </c>
      <c r="B89" t="s">
        <v>2307</v>
      </c>
      <c r="C89" t="s">
        <v>2332</v>
      </c>
    </row>
    <row r="90" spans="1:3">
      <c r="A90" t="s">
        <v>423</v>
      </c>
      <c r="B90" t="s">
        <v>2307</v>
      </c>
      <c r="C90" t="s">
        <v>2332</v>
      </c>
    </row>
    <row r="91" spans="1:3">
      <c r="A91" t="s">
        <v>423</v>
      </c>
      <c r="B91" t="s">
        <v>2307</v>
      </c>
      <c r="C91" t="s">
        <v>2332</v>
      </c>
    </row>
    <row r="92" spans="1:3">
      <c r="A92" t="s">
        <v>423</v>
      </c>
      <c r="B92" t="s">
        <v>2307</v>
      </c>
      <c r="C92" t="s">
        <v>2332</v>
      </c>
    </row>
    <row r="93" spans="1:3">
      <c r="A93" t="s">
        <v>423</v>
      </c>
      <c r="B93" t="s">
        <v>2307</v>
      </c>
      <c r="C93" t="s">
        <v>2332</v>
      </c>
    </row>
    <row r="94" spans="1:3">
      <c r="A94" t="s">
        <v>423</v>
      </c>
      <c r="B94" t="s">
        <v>2307</v>
      </c>
      <c r="C94" t="s">
        <v>2332</v>
      </c>
    </row>
    <row r="95" spans="1:3">
      <c r="A95" t="s">
        <v>423</v>
      </c>
      <c r="B95" t="s">
        <v>2307</v>
      </c>
      <c r="C95" t="s">
        <v>2332</v>
      </c>
    </row>
    <row r="96" spans="1:3">
      <c r="A96" t="s">
        <v>423</v>
      </c>
      <c r="B96" t="s">
        <v>2307</v>
      </c>
      <c r="C96" t="s">
        <v>2332</v>
      </c>
    </row>
    <row r="97" spans="1:3">
      <c r="A97" t="s">
        <v>423</v>
      </c>
      <c r="B97" t="s">
        <v>2307</v>
      </c>
      <c r="C97" t="s">
        <v>2332</v>
      </c>
    </row>
    <row r="98" spans="1:3">
      <c r="A98" t="s">
        <v>423</v>
      </c>
      <c r="B98" t="s">
        <v>2312</v>
      </c>
      <c r="C98" t="s">
        <v>2333</v>
      </c>
    </row>
    <row r="99" spans="1:3">
      <c r="A99" t="s">
        <v>572</v>
      </c>
      <c r="B99" t="s">
        <v>2304</v>
      </c>
      <c r="C99" t="s">
        <v>2334</v>
      </c>
    </row>
    <row r="100" spans="1:3">
      <c r="A100" t="s">
        <v>572</v>
      </c>
      <c r="B100" t="s">
        <v>2304</v>
      </c>
      <c r="C100" t="s">
        <v>2335</v>
      </c>
    </row>
    <row r="101" spans="1:3">
      <c r="A101" t="s">
        <v>572</v>
      </c>
      <c r="B101" t="s">
        <v>2304</v>
      </c>
      <c r="C101" t="s">
        <v>2335</v>
      </c>
    </row>
    <row r="102" spans="1:3">
      <c r="A102" t="s">
        <v>572</v>
      </c>
      <c r="B102" t="s">
        <v>2304</v>
      </c>
      <c r="C102" t="s">
        <v>2335</v>
      </c>
    </row>
    <row r="103" spans="1:3">
      <c r="A103" t="s">
        <v>572</v>
      </c>
      <c r="B103" t="s">
        <v>2304</v>
      </c>
      <c r="C103" t="s">
        <v>2335</v>
      </c>
    </row>
    <row r="104" spans="1:3">
      <c r="A104" t="s">
        <v>572</v>
      </c>
      <c r="B104" t="s">
        <v>2308</v>
      </c>
      <c r="C104" t="s">
        <v>2336</v>
      </c>
    </row>
    <row r="105" spans="1:3">
      <c r="A105" t="s">
        <v>572</v>
      </c>
      <c r="B105" t="s">
        <v>2308</v>
      </c>
      <c r="C105" t="s">
        <v>2336</v>
      </c>
    </row>
    <row r="106" spans="1:3">
      <c r="A106" t="s">
        <v>572</v>
      </c>
      <c r="B106" t="s">
        <v>2308</v>
      </c>
      <c r="C106" t="s">
        <v>2336</v>
      </c>
    </row>
    <row r="107" spans="1:3">
      <c r="A107" t="s">
        <v>572</v>
      </c>
      <c r="B107" t="s">
        <v>2308</v>
      </c>
      <c r="C107" t="s">
        <v>2336</v>
      </c>
    </row>
    <row r="108" spans="1:3">
      <c r="A108" t="s">
        <v>572</v>
      </c>
      <c r="B108" t="s">
        <v>2304</v>
      </c>
      <c r="C108" t="s">
        <v>2337</v>
      </c>
    </row>
    <row r="109" spans="1:3">
      <c r="A109" t="s">
        <v>572</v>
      </c>
      <c r="B109" t="s">
        <v>2304</v>
      </c>
      <c r="C109" t="s">
        <v>2337</v>
      </c>
    </row>
    <row r="110" spans="1:3">
      <c r="A110" t="s">
        <v>572</v>
      </c>
      <c r="B110" t="s">
        <v>2304</v>
      </c>
      <c r="C110" t="s">
        <v>2337</v>
      </c>
    </row>
    <row r="111" spans="1:3">
      <c r="A111" t="s">
        <v>572</v>
      </c>
      <c r="B111" t="s">
        <v>2304</v>
      </c>
      <c r="C111" t="s">
        <v>2337</v>
      </c>
    </row>
    <row r="112" spans="1:3">
      <c r="A112" t="s">
        <v>572</v>
      </c>
      <c r="B112" t="s">
        <v>2304</v>
      </c>
      <c r="C112" t="s">
        <v>2337</v>
      </c>
    </row>
    <row r="113" spans="1:3">
      <c r="A113" t="s">
        <v>572</v>
      </c>
      <c r="B113" t="s">
        <v>2304</v>
      </c>
      <c r="C113" t="s">
        <v>2337</v>
      </c>
    </row>
    <row r="114" spans="1:3">
      <c r="A114" t="s">
        <v>572</v>
      </c>
      <c r="B114" t="s">
        <v>2304</v>
      </c>
      <c r="C114" t="s">
        <v>2337</v>
      </c>
    </row>
    <row r="115" spans="1:3">
      <c r="A115" t="s">
        <v>572</v>
      </c>
      <c r="B115" t="s">
        <v>2304</v>
      </c>
      <c r="C115" t="s">
        <v>2337</v>
      </c>
    </row>
    <row r="116" spans="1:3">
      <c r="A116" t="s">
        <v>572</v>
      </c>
      <c r="B116" t="s">
        <v>2304</v>
      </c>
      <c r="C116" t="s">
        <v>2337</v>
      </c>
    </row>
    <row r="117" spans="1:3">
      <c r="A117" t="s">
        <v>572</v>
      </c>
      <c r="B117" t="s">
        <v>2304</v>
      </c>
      <c r="C117" t="s">
        <v>2337</v>
      </c>
    </row>
    <row r="118" spans="1:3">
      <c r="A118" t="s">
        <v>572</v>
      </c>
      <c r="B118" t="s">
        <v>2304</v>
      </c>
      <c r="C118" t="s">
        <v>2337</v>
      </c>
    </row>
    <row r="119" spans="1:3">
      <c r="A119" t="s">
        <v>572</v>
      </c>
      <c r="B119" t="s">
        <v>2304</v>
      </c>
      <c r="C119" t="s">
        <v>2337</v>
      </c>
    </row>
    <row r="120" spans="1:3">
      <c r="A120" t="s">
        <v>572</v>
      </c>
      <c r="B120" t="s">
        <v>2304</v>
      </c>
      <c r="C120" t="s">
        <v>2337</v>
      </c>
    </row>
    <row r="121" spans="1:3">
      <c r="A121" t="s">
        <v>572</v>
      </c>
      <c r="B121" t="s">
        <v>2304</v>
      </c>
      <c r="C121" t="s">
        <v>2337</v>
      </c>
    </row>
    <row r="122" spans="1:3">
      <c r="A122" t="s">
        <v>572</v>
      </c>
      <c r="B122" t="s">
        <v>2304</v>
      </c>
      <c r="C122" t="s">
        <v>2337</v>
      </c>
    </row>
    <row r="123" spans="1:3">
      <c r="A123" t="s">
        <v>572</v>
      </c>
      <c r="B123" t="s">
        <v>2304</v>
      </c>
      <c r="C123" t="s">
        <v>2337</v>
      </c>
    </row>
    <row r="124" spans="1:3">
      <c r="A124" t="s">
        <v>572</v>
      </c>
      <c r="B124" t="s">
        <v>2304</v>
      </c>
      <c r="C124" t="s">
        <v>2337</v>
      </c>
    </row>
    <row r="125" spans="1:3">
      <c r="A125" t="s">
        <v>572</v>
      </c>
      <c r="B125" t="s">
        <v>2304</v>
      </c>
      <c r="C125" t="s">
        <v>2338</v>
      </c>
    </row>
    <row r="126" spans="1:3">
      <c r="A126" t="s">
        <v>572</v>
      </c>
      <c r="B126" t="s">
        <v>2304</v>
      </c>
      <c r="C126" t="s">
        <v>2338</v>
      </c>
    </row>
    <row r="127" spans="1:3">
      <c r="A127" t="s">
        <v>572</v>
      </c>
      <c r="B127" t="s">
        <v>2304</v>
      </c>
      <c r="C127" t="s">
        <v>2338</v>
      </c>
    </row>
    <row r="128" spans="1:3">
      <c r="A128" t="s">
        <v>572</v>
      </c>
      <c r="B128" t="s">
        <v>2304</v>
      </c>
      <c r="C128" t="s">
        <v>2338</v>
      </c>
    </row>
    <row r="129" spans="1:3">
      <c r="A129" t="s">
        <v>572</v>
      </c>
      <c r="B129" t="s">
        <v>2304</v>
      </c>
      <c r="C129" t="s">
        <v>2338</v>
      </c>
    </row>
    <row r="130" spans="1:3">
      <c r="A130" t="s">
        <v>423</v>
      </c>
      <c r="B130" t="s">
        <v>2307</v>
      </c>
      <c r="C130" t="s">
        <v>2339</v>
      </c>
    </row>
    <row r="131" spans="1:3">
      <c r="A131" t="s">
        <v>572</v>
      </c>
      <c r="B131" t="s">
        <v>2304</v>
      </c>
      <c r="C131" t="s">
        <v>2340</v>
      </c>
    </row>
    <row r="132" spans="1:3">
      <c r="A132" t="s">
        <v>572</v>
      </c>
      <c r="B132" t="s">
        <v>2304</v>
      </c>
      <c r="C132" t="s">
        <v>2341</v>
      </c>
    </row>
    <row r="133" spans="1:3">
      <c r="A133" t="s">
        <v>572</v>
      </c>
      <c r="B133" t="s">
        <v>2304</v>
      </c>
      <c r="C133" t="s">
        <v>2341</v>
      </c>
    </row>
    <row r="134" spans="1:3">
      <c r="A134" t="s">
        <v>572</v>
      </c>
      <c r="B134" t="s">
        <v>2304</v>
      </c>
      <c r="C134" t="s">
        <v>2341</v>
      </c>
    </row>
    <row r="135" spans="1:3">
      <c r="A135" t="s">
        <v>423</v>
      </c>
      <c r="B135" t="s">
        <v>2307</v>
      </c>
      <c r="C135" t="s">
        <v>2339</v>
      </c>
    </row>
    <row r="136" spans="1:3">
      <c r="A136" t="s">
        <v>572</v>
      </c>
      <c r="B136" t="s">
        <v>2308</v>
      </c>
      <c r="C136" t="s">
        <v>2342</v>
      </c>
    </row>
    <row r="137" spans="1:3">
      <c r="A137" t="s">
        <v>572</v>
      </c>
      <c r="B137" t="s">
        <v>2308</v>
      </c>
      <c r="C137" t="s">
        <v>2342</v>
      </c>
    </row>
    <row r="138" spans="1:3">
      <c r="A138" t="s">
        <v>572</v>
      </c>
      <c r="B138" t="s">
        <v>2308</v>
      </c>
      <c r="C138" t="s">
        <v>2342</v>
      </c>
    </row>
    <row r="139" spans="1:3">
      <c r="A139" t="s">
        <v>423</v>
      </c>
      <c r="B139" t="s">
        <v>2304</v>
      </c>
      <c r="C139" t="s">
        <v>2343</v>
      </c>
    </row>
    <row r="140" spans="1:3">
      <c r="A140" t="s">
        <v>423</v>
      </c>
      <c r="B140" t="s">
        <v>2304</v>
      </c>
      <c r="C140" t="s">
        <v>2343</v>
      </c>
    </row>
    <row r="141" spans="1:3">
      <c r="A141" t="s">
        <v>423</v>
      </c>
      <c r="B141" t="s">
        <v>2304</v>
      </c>
      <c r="C141" t="s">
        <v>2343</v>
      </c>
    </row>
    <row r="142" spans="1:3">
      <c r="A142" t="s">
        <v>423</v>
      </c>
      <c r="B142" t="s">
        <v>2304</v>
      </c>
      <c r="C142" t="s">
        <v>2343</v>
      </c>
    </row>
    <row r="143" spans="1:3">
      <c r="A143" t="s">
        <v>423</v>
      </c>
      <c r="B143" t="s">
        <v>2304</v>
      </c>
      <c r="C143" t="s">
        <v>2343</v>
      </c>
    </row>
    <row r="144" spans="1:3">
      <c r="A144" t="s">
        <v>423</v>
      </c>
      <c r="B144" t="s">
        <v>2304</v>
      </c>
      <c r="C144" t="s">
        <v>2344</v>
      </c>
    </row>
    <row r="145" spans="1:3">
      <c r="A145" t="s">
        <v>423</v>
      </c>
      <c r="B145" t="s">
        <v>2304</v>
      </c>
      <c r="C145" t="s">
        <v>2345</v>
      </c>
    </row>
    <row r="146" spans="1:3">
      <c r="A146" t="s">
        <v>423</v>
      </c>
      <c r="B146" t="s">
        <v>2304</v>
      </c>
      <c r="C146" t="s">
        <v>2343</v>
      </c>
    </row>
    <row r="147" spans="1:3">
      <c r="A147" t="s">
        <v>423</v>
      </c>
      <c r="B147" t="s">
        <v>2304</v>
      </c>
      <c r="C147" t="s">
        <v>2343</v>
      </c>
    </row>
    <row r="148" spans="1:3">
      <c r="A148" t="s">
        <v>572</v>
      </c>
      <c r="B148" t="s">
        <v>2304</v>
      </c>
      <c r="C148" t="s">
        <v>2321</v>
      </c>
    </row>
    <row r="149" spans="1:3">
      <c r="A149" t="s">
        <v>572</v>
      </c>
      <c r="B149" t="s">
        <v>2304</v>
      </c>
      <c r="C149" t="s">
        <v>2321</v>
      </c>
    </row>
    <row r="150" spans="1:3">
      <c r="A150" t="s">
        <v>572</v>
      </c>
      <c r="B150" t="s">
        <v>2304</v>
      </c>
      <c r="C150" t="s">
        <v>2321</v>
      </c>
    </row>
    <row r="151" spans="1:3">
      <c r="A151" t="s">
        <v>572</v>
      </c>
      <c r="B151" t="s">
        <v>2304</v>
      </c>
      <c r="C151" t="s">
        <v>2346</v>
      </c>
    </row>
    <row r="152" spans="1:3">
      <c r="A152" t="s">
        <v>572</v>
      </c>
      <c r="B152" t="s">
        <v>2304</v>
      </c>
      <c r="C152" t="s">
        <v>2347</v>
      </c>
    </row>
    <row r="153" spans="1:3">
      <c r="A153" t="s">
        <v>572</v>
      </c>
      <c r="B153" t="s">
        <v>2304</v>
      </c>
      <c r="C153" t="s">
        <v>2348</v>
      </c>
    </row>
    <row r="154" spans="1:3">
      <c r="A154" t="s">
        <v>572</v>
      </c>
      <c r="B154" t="s">
        <v>2308</v>
      </c>
      <c r="C154" t="s">
        <v>2349</v>
      </c>
    </row>
    <row r="155" spans="1:3">
      <c r="A155" t="s">
        <v>423</v>
      </c>
      <c r="B155" t="s">
        <v>2304</v>
      </c>
      <c r="C155" t="s">
        <v>2350</v>
      </c>
    </row>
    <row r="156" spans="1:3">
      <c r="A156" t="s">
        <v>423</v>
      </c>
      <c r="B156" t="s">
        <v>2304</v>
      </c>
      <c r="C156" t="s">
        <v>2350</v>
      </c>
    </row>
    <row r="157" spans="1:3">
      <c r="A157" t="s">
        <v>423</v>
      </c>
      <c r="B157" t="s">
        <v>2304</v>
      </c>
      <c r="C157" t="s">
        <v>2350</v>
      </c>
    </row>
    <row r="158" spans="1:3">
      <c r="A158" t="s">
        <v>423</v>
      </c>
      <c r="B158" t="s">
        <v>2304</v>
      </c>
      <c r="C158" t="s">
        <v>2350</v>
      </c>
    </row>
    <row r="159" spans="1:3">
      <c r="A159" t="s">
        <v>423</v>
      </c>
      <c r="B159" t="s">
        <v>2304</v>
      </c>
      <c r="C159" t="s">
        <v>2350</v>
      </c>
    </row>
    <row r="160" spans="1:3">
      <c r="A160" t="s">
        <v>423</v>
      </c>
      <c r="B160" t="s">
        <v>2304</v>
      </c>
      <c r="C160" t="s">
        <v>2350</v>
      </c>
    </row>
    <row r="161" spans="1:3">
      <c r="A161" t="s">
        <v>423</v>
      </c>
      <c r="B161" t="s">
        <v>2304</v>
      </c>
      <c r="C161" t="s">
        <v>2350</v>
      </c>
    </row>
    <row r="162" spans="1:3">
      <c r="A162" t="s">
        <v>423</v>
      </c>
      <c r="B162" t="s">
        <v>2304</v>
      </c>
      <c r="C162" t="s">
        <v>2350</v>
      </c>
    </row>
    <row r="163" spans="1:3">
      <c r="A163" t="s">
        <v>423</v>
      </c>
      <c r="B163" t="s">
        <v>2304</v>
      </c>
      <c r="C163" t="s">
        <v>2350</v>
      </c>
    </row>
    <row r="164" spans="1:3">
      <c r="A164" t="s">
        <v>423</v>
      </c>
      <c r="B164" t="s">
        <v>2304</v>
      </c>
      <c r="C164" t="s">
        <v>2350</v>
      </c>
    </row>
    <row r="165" spans="1:3">
      <c r="A165" t="s">
        <v>423</v>
      </c>
      <c r="B165" t="s">
        <v>2304</v>
      </c>
      <c r="C165" t="s">
        <v>2351</v>
      </c>
    </row>
    <row r="166" spans="1:3">
      <c r="A166" t="s">
        <v>423</v>
      </c>
      <c r="B166" t="s">
        <v>2304</v>
      </c>
      <c r="C166" t="s">
        <v>2351</v>
      </c>
    </row>
    <row r="167" spans="1:3">
      <c r="A167" t="s">
        <v>423</v>
      </c>
      <c r="B167" t="s">
        <v>2304</v>
      </c>
      <c r="C167" t="s">
        <v>2351</v>
      </c>
    </row>
    <row r="168" spans="1:3">
      <c r="A168" t="s">
        <v>423</v>
      </c>
      <c r="B168" t="s">
        <v>2304</v>
      </c>
      <c r="C168" t="s">
        <v>2351</v>
      </c>
    </row>
    <row r="169" spans="1:3">
      <c r="A169" t="s">
        <v>423</v>
      </c>
      <c r="B169" t="s">
        <v>2304</v>
      </c>
      <c r="C169" t="s">
        <v>2351</v>
      </c>
    </row>
    <row r="170" spans="1:3">
      <c r="A170" t="s">
        <v>423</v>
      </c>
      <c r="B170" t="s">
        <v>2304</v>
      </c>
      <c r="C170" t="s">
        <v>2351</v>
      </c>
    </row>
    <row r="171" spans="1:3">
      <c r="A171" t="s">
        <v>423</v>
      </c>
      <c r="B171" t="s">
        <v>2304</v>
      </c>
      <c r="C171" t="s">
        <v>2352</v>
      </c>
    </row>
    <row r="172" spans="1:3">
      <c r="A172" t="s">
        <v>572</v>
      </c>
      <c r="B172" t="s">
        <v>2304</v>
      </c>
      <c r="C172" t="s">
        <v>2353</v>
      </c>
    </row>
    <row r="173" spans="1:3">
      <c r="A173" t="s">
        <v>572</v>
      </c>
      <c r="B173" t="s">
        <v>2304</v>
      </c>
      <c r="C173" t="s">
        <v>2354</v>
      </c>
    </row>
    <row r="174" spans="1:3">
      <c r="A174" t="s">
        <v>572</v>
      </c>
      <c r="B174" t="s">
        <v>2304</v>
      </c>
      <c r="C174" t="s">
        <v>2353</v>
      </c>
    </row>
    <row r="175" spans="1:3">
      <c r="A175" t="s">
        <v>572</v>
      </c>
      <c r="B175" t="s">
        <v>2304</v>
      </c>
      <c r="C175" t="s">
        <v>2353</v>
      </c>
    </row>
    <row r="176" spans="1:3">
      <c r="A176" t="s">
        <v>572</v>
      </c>
      <c r="B176" t="s">
        <v>2304</v>
      </c>
      <c r="C176" t="s">
        <v>2355</v>
      </c>
    </row>
    <row r="177" spans="1:3">
      <c r="A177" t="s">
        <v>572</v>
      </c>
      <c r="B177" t="s">
        <v>2304</v>
      </c>
      <c r="C177" t="s">
        <v>2356</v>
      </c>
    </row>
    <row r="178" spans="1:3">
      <c r="A178" t="s">
        <v>572</v>
      </c>
      <c r="B178" t="s">
        <v>2304</v>
      </c>
      <c r="C178" t="s">
        <v>2353</v>
      </c>
    </row>
    <row r="179" spans="1:3">
      <c r="A179" t="s">
        <v>572</v>
      </c>
      <c r="B179" t="s">
        <v>2304</v>
      </c>
      <c r="C179" t="s">
        <v>2353</v>
      </c>
    </row>
    <row r="180" spans="1:3">
      <c r="A180" t="s">
        <v>572</v>
      </c>
      <c r="B180" t="s">
        <v>2304</v>
      </c>
      <c r="C180" t="s">
        <v>2353</v>
      </c>
    </row>
    <row r="181" spans="1:3">
      <c r="A181" t="s">
        <v>572</v>
      </c>
      <c r="B181" t="s">
        <v>2304</v>
      </c>
      <c r="C181" t="s">
        <v>2357</v>
      </c>
    </row>
    <row r="182" spans="1:3">
      <c r="A182" t="s">
        <v>572</v>
      </c>
      <c r="B182" t="s">
        <v>2304</v>
      </c>
      <c r="C182" t="s">
        <v>2356</v>
      </c>
    </row>
    <row r="183" spans="1:3">
      <c r="A183" t="s">
        <v>572</v>
      </c>
      <c r="B183" t="s">
        <v>2304</v>
      </c>
      <c r="C183" t="s">
        <v>2353</v>
      </c>
    </row>
    <row r="184" spans="1:3">
      <c r="A184" t="s">
        <v>572</v>
      </c>
      <c r="B184" t="s">
        <v>2304</v>
      </c>
      <c r="C184" t="s">
        <v>2358</v>
      </c>
    </row>
    <row r="185" spans="1:3">
      <c r="A185" t="s">
        <v>572</v>
      </c>
      <c r="B185" t="s">
        <v>2304</v>
      </c>
      <c r="C185" t="s">
        <v>2353</v>
      </c>
    </row>
    <row r="186" spans="1:3">
      <c r="A186" t="s">
        <v>572</v>
      </c>
      <c r="B186" t="s">
        <v>2304</v>
      </c>
      <c r="C186" t="s">
        <v>2353</v>
      </c>
    </row>
    <row r="187" spans="1:3">
      <c r="A187" t="s">
        <v>572</v>
      </c>
      <c r="B187" t="s">
        <v>2304</v>
      </c>
      <c r="C187" t="s">
        <v>2353</v>
      </c>
    </row>
    <row r="188" spans="1:3">
      <c r="A188" t="s">
        <v>572</v>
      </c>
      <c r="B188" t="s">
        <v>2304</v>
      </c>
      <c r="C188" t="s">
        <v>2353</v>
      </c>
    </row>
    <row r="189" spans="1:3">
      <c r="A189" t="s">
        <v>572</v>
      </c>
      <c r="B189" t="s">
        <v>2304</v>
      </c>
      <c r="C189" t="s">
        <v>2359</v>
      </c>
    </row>
    <row r="190" spans="1:3">
      <c r="A190" t="s">
        <v>572</v>
      </c>
      <c r="B190" t="s">
        <v>2304</v>
      </c>
      <c r="C190" t="s">
        <v>2353</v>
      </c>
    </row>
    <row r="191" spans="1:3">
      <c r="A191" t="s">
        <v>572</v>
      </c>
      <c r="B191" t="s">
        <v>2304</v>
      </c>
      <c r="C191" t="s">
        <v>2353</v>
      </c>
    </row>
    <row r="192" spans="1:3">
      <c r="A192" t="s">
        <v>572</v>
      </c>
      <c r="B192" t="s">
        <v>2304</v>
      </c>
      <c r="C192" t="s">
        <v>2353</v>
      </c>
    </row>
    <row r="193" spans="1:3">
      <c r="A193" t="s">
        <v>572</v>
      </c>
      <c r="B193" t="s">
        <v>2304</v>
      </c>
      <c r="C193" t="s">
        <v>2353</v>
      </c>
    </row>
    <row r="194" spans="1:3">
      <c r="A194" t="s">
        <v>572</v>
      </c>
      <c r="B194" t="s">
        <v>2304</v>
      </c>
      <c r="C194" t="s">
        <v>2353</v>
      </c>
    </row>
    <row r="195" spans="1:3">
      <c r="A195" t="s">
        <v>572</v>
      </c>
      <c r="B195" t="s">
        <v>2304</v>
      </c>
      <c r="C195" t="s">
        <v>2353</v>
      </c>
    </row>
    <row r="196" spans="1:3">
      <c r="A196" t="s">
        <v>572</v>
      </c>
      <c r="B196" t="s">
        <v>2304</v>
      </c>
      <c r="C196" t="s">
        <v>2353</v>
      </c>
    </row>
    <row r="197" spans="1:3">
      <c r="A197" t="s">
        <v>572</v>
      </c>
      <c r="B197" t="s">
        <v>2304</v>
      </c>
      <c r="C197" t="s">
        <v>2353</v>
      </c>
    </row>
    <row r="198" spans="1:3">
      <c r="A198" t="s">
        <v>572</v>
      </c>
      <c r="B198" t="s">
        <v>2304</v>
      </c>
      <c r="C198" t="s">
        <v>2353</v>
      </c>
    </row>
    <row r="199" spans="1:3">
      <c r="A199" t="s">
        <v>572</v>
      </c>
      <c r="B199" t="s">
        <v>2304</v>
      </c>
      <c r="C199" t="s">
        <v>2353</v>
      </c>
    </row>
    <row r="200" spans="1:3">
      <c r="A200" t="s">
        <v>572</v>
      </c>
      <c r="B200" t="s">
        <v>2304</v>
      </c>
      <c r="C200" t="s">
        <v>2353</v>
      </c>
    </row>
    <row r="201" spans="1:3">
      <c r="A201" t="s">
        <v>572</v>
      </c>
      <c r="B201" t="s">
        <v>2304</v>
      </c>
      <c r="C201" t="s">
        <v>2353</v>
      </c>
    </row>
    <row r="202" spans="1:3">
      <c r="A202" t="s">
        <v>572</v>
      </c>
      <c r="B202" t="s">
        <v>2304</v>
      </c>
      <c r="C202" t="s">
        <v>2360</v>
      </c>
    </row>
    <row r="203" spans="1:3">
      <c r="A203" t="s">
        <v>572</v>
      </c>
      <c r="B203" t="s">
        <v>2304</v>
      </c>
      <c r="C203" t="s">
        <v>2361</v>
      </c>
    </row>
    <row r="204" spans="1:3">
      <c r="A204" t="s">
        <v>572</v>
      </c>
      <c r="B204" t="s">
        <v>2304</v>
      </c>
      <c r="C204" t="s">
        <v>2362</v>
      </c>
    </row>
    <row r="205" spans="1:3">
      <c r="A205" t="s">
        <v>572</v>
      </c>
      <c r="B205" t="s">
        <v>2304</v>
      </c>
      <c r="C205" t="s">
        <v>2363</v>
      </c>
    </row>
    <row r="206" spans="1:3">
      <c r="A206" t="s">
        <v>423</v>
      </c>
      <c r="B206" t="s">
        <v>2304</v>
      </c>
      <c r="C206" t="s">
        <v>2364</v>
      </c>
    </row>
    <row r="207" spans="1:3">
      <c r="A207" t="s">
        <v>423</v>
      </c>
      <c r="B207" t="s">
        <v>2309</v>
      </c>
      <c r="C207" t="s">
        <v>2365</v>
      </c>
    </row>
    <row r="208" spans="1:3">
      <c r="A208" t="s">
        <v>423</v>
      </c>
      <c r="B208" t="s">
        <v>2310</v>
      </c>
      <c r="C208" t="s">
        <v>2366</v>
      </c>
    </row>
    <row r="209" spans="1:3">
      <c r="A209" t="s">
        <v>423</v>
      </c>
      <c r="B209" t="s">
        <v>2305</v>
      </c>
      <c r="C209" t="s">
        <v>2318</v>
      </c>
    </row>
    <row r="210" spans="1:3">
      <c r="A210" t="s">
        <v>423</v>
      </c>
      <c r="B210" t="s">
        <v>2304</v>
      </c>
      <c r="C210" t="s">
        <v>2367</v>
      </c>
    </row>
    <row r="211" spans="1:3">
      <c r="A211" t="s">
        <v>423</v>
      </c>
      <c r="B211" t="s">
        <v>2304</v>
      </c>
      <c r="C211" t="s">
        <v>2367</v>
      </c>
    </row>
    <row r="212" spans="1:3">
      <c r="A212" t="s">
        <v>423</v>
      </c>
      <c r="B212" t="s">
        <v>2304</v>
      </c>
      <c r="C212" t="s">
        <v>2367</v>
      </c>
    </row>
    <row r="213" spans="1:3">
      <c r="A213" t="s">
        <v>423</v>
      </c>
      <c r="B213" t="s">
        <v>2304</v>
      </c>
      <c r="C213" t="s">
        <v>2367</v>
      </c>
    </row>
    <row r="214" spans="1:3">
      <c r="A214" t="s">
        <v>423</v>
      </c>
      <c r="B214" t="s">
        <v>2304</v>
      </c>
      <c r="C214" t="s">
        <v>2367</v>
      </c>
    </row>
    <row r="215" spans="1:3">
      <c r="A215" t="s">
        <v>423</v>
      </c>
      <c r="B215" t="s">
        <v>2304</v>
      </c>
      <c r="C215" t="s">
        <v>2367</v>
      </c>
    </row>
    <row r="216" spans="1:3">
      <c r="A216" t="s">
        <v>423</v>
      </c>
      <c r="B216" t="s">
        <v>2304</v>
      </c>
      <c r="C216" t="s">
        <v>2367</v>
      </c>
    </row>
    <row r="217" spans="1:3">
      <c r="A217" t="s">
        <v>423</v>
      </c>
      <c r="B217" t="s">
        <v>2304</v>
      </c>
      <c r="C217" t="s">
        <v>2367</v>
      </c>
    </row>
    <row r="218" spans="1:3">
      <c r="A218" t="s">
        <v>423</v>
      </c>
      <c r="B218" t="s">
        <v>2304</v>
      </c>
      <c r="C218" t="s">
        <v>2367</v>
      </c>
    </row>
    <row r="219" spans="1:3">
      <c r="A219" t="s">
        <v>572</v>
      </c>
      <c r="B219" t="s">
        <v>2304</v>
      </c>
      <c r="C219" t="s">
        <v>2321</v>
      </c>
    </row>
    <row r="220" spans="1:3">
      <c r="A220" t="s">
        <v>572</v>
      </c>
      <c r="B220" t="s">
        <v>2304</v>
      </c>
      <c r="C220" t="s">
        <v>2321</v>
      </c>
    </row>
    <row r="221" spans="1:3">
      <c r="A221" t="s">
        <v>572</v>
      </c>
      <c r="B221" t="s">
        <v>2304</v>
      </c>
      <c r="C221" t="s">
        <v>2341</v>
      </c>
    </row>
    <row r="222" spans="1:3">
      <c r="A222" t="s">
        <v>572</v>
      </c>
      <c r="B222" t="s">
        <v>2304</v>
      </c>
      <c r="C222" t="s">
        <v>2338</v>
      </c>
    </row>
    <row r="223" spans="1:3">
      <c r="A223" t="s">
        <v>423</v>
      </c>
      <c r="B223" t="s">
        <v>2304</v>
      </c>
      <c r="C223" t="s">
        <v>2343</v>
      </c>
    </row>
    <row r="224" spans="1:3">
      <c r="A224" t="s">
        <v>572</v>
      </c>
      <c r="B224" t="s">
        <v>2304</v>
      </c>
      <c r="C224" t="s">
        <v>2338</v>
      </c>
    </row>
    <row r="225" spans="1:3">
      <c r="A225" t="s">
        <v>572</v>
      </c>
      <c r="B225" t="s">
        <v>2304</v>
      </c>
      <c r="C225" t="s">
        <v>2338</v>
      </c>
    </row>
    <row r="226" spans="1:3">
      <c r="A226" t="s">
        <v>572</v>
      </c>
      <c r="B226" t="s">
        <v>2304</v>
      </c>
      <c r="C226" t="s">
        <v>2338</v>
      </c>
    </row>
    <row r="227" spans="1:3">
      <c r="A227" t="s">
        <v>572</v>
      </c>
      <c r="B227" t="s">
        <v>2304</v>
      </c>
      <c r="C227" t="s">
        <v>2321</v>
      </c>
    </row>
    <row r="228" spans="1:3">
      <c r="A228" t="s">
        <v>423</v>
      </c>
      <c r="B228" t="s">
        <v>2304</v>
      </c>
      <c r="C228" t="s">
        <v>2343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5" workbookViewId="0">
      <selection activeCell="O1" sqref="O1:O1048576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813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814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794</v>
      </c>
      <c r="C1" s="16" t="s">
        <v>795</v>
      </c>
      <c r="D1" s="16" t="s">
        <v>793</v>
      </c>
      <c r="E1" s="137" t="s">
        <v>796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797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797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797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798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799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798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800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801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802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803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803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804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805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806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807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798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808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808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809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810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811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812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804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836</v>
      </c>
      <c r="C26" s="21" t="s">
        <v>811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837</v>
      </c>
      <c r="C27" s="21" t="s">
        <v>839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838</v>
      </c>
      <c r="C28" s="21" t="s">
        <v>860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861</v>
      </c>
      <c r="C29" s="21" t="s">
        <v>806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812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858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859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834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857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835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832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833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815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816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A35" sqref="A35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792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AN1" zoomScale="70" zoomScaleNormal="70" workbookViewId="0">
      <pane ySplit="1" topLeftCell="A2" activePane="bottomLeft" state="frozen"/>
      <selection pane="bottomLeft" activeCell="BA12" sqref="BA12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817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 t="s">
        <v>572</v>
      </c>
      <c r="BF3" s="33" t="s">
        <v>541</v>
      </c>
      <c r="BG3" s="33" t="s">
        <v>866</v>
      </c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817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 t="s">
        <v>423</v>
      </c>
      <c r="BF4" s="33" t="s">
        <v>386</v>
      </c>
      <c r="BG4" s="33" t="s">
        <v>866</v>
      </c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817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 t="s">
        <v>438</v>
      </c>
      <c r="BF5" s="33" t="s">
        <v>2303</v>
      </c>
      <c r="BG5" s="33" t="s">
        <v>866</v>
      </c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817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817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817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G1" workbookViewId="0">
      <pane ySplit="1" topLeftCell="A314" activePane="bottomLeft" state="frozen"/>
      <selection pane="bottomLeft" activeCell="L1" sqref="L1:L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4.85546875" style="50" bestFit="1" customWidth="1"/>
    <col min="20" max="20" width="30.57031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6</v>
      </c>
      <c r="Z1" s="77"/>
      <c r="AA1" s="77" t="str">
        <f>RIGHT(TEXT(MAX(AA2:AA6000),"###"),3)</f>
        <v>478</v>
      </c>
      <c r="AB1" s="78" t="str">
        <f>RIGHT("000"&amp;Y1,2)&amp;"-"&amp;RIGHT("000"&amp;AA1,3)</f>
        <v>06-478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06-479-</v>
      </c>
      <c r="AE1" s="80" t="s">
        <v>583</v>
      </c>
      <c r="AF1" s="110" t="s">
        <v>553</v>
      </c>
      <c r="AG1" s="80" t="s">
        <v>831</v>
      </c>
      <c r="AH1" s="143">
        <v>1</v>
      </c>
    </row>
    <row r="2" spans="1:34">
      <c r="A2" s="83" t="str">
        <f>IF(G2&amp;Q2&lt;&gt;"",S2&amp;Q2,"")</f>
        <v>36670A-CALIblk</v>
      </c>
      <c r="B2" s="83" t="str">
        <f>IF(C2&lt;&gt;"",LEFT(C2,9),"")</f>
        <v>06-001-09</v>
      </c>
      <c r="C2" s="106" t="s">
        <v>862</v>
      </c>
      <c r="D2" s="106" t="s">
        <v>863</v>
      </c>
      <c r="E2" s="106" t="s">
        <v>788</v>
      </c>
      <c r="F2" s="107">
        <v>0</v>
      </c>
      <c r="G2" s="106" t="s">
        <v>864</v>
      </c>
      <c r="H2" s="106" t="s">
        <v>53</v>
      </c>
      <c r="I2" s="106" t="s">
        <v>786</v>
      </c>
      <c r="J2" s="106" t="s">
        <v>327</v>
      </c>
      <c r="K2" s="106" t="s">
        <v>382</v>
      </c>
      <c r="L2" s="106" t="s">
        <v>865</v>
      </c>
      <c r="M2" s="106" t="s">
        <v>388</v>
      </c>
      <c r="N2" s="106" t="s">
        <v>43</v>
      </c>
      <c r="O2" s="106" t="s">
        <v>541</v>
      </c>
      <c r="P2" s="106" t="s">
        <v>866</v>
      </c>
      <c r="Q2" s="106" t="s">
        <v>843</v>
      </c>
      <c r="R2" s="106" t="s">
        <v>53</v>
      </c>
      <c r="S2" s="83" t="str">
        <f>IF(G2&lt;&gt;"",IF(StyleSpaceSplit,IFERROR(IF(FIND(" ",G2)&gt;=1,MID(G2,1,FIND(" ",G2)-1),G2),G2),G2),"")</f>
        <v>36670A-CALI</v>
      </c>
      <c r="T2" s="83" t="str">
        <f>IF(A2&lt;&gt;"",IFERROR(IF(FIND(" ",G2)&gt;=1,MID(G2,FIND(" ",G2)+1,LEN(G2)),""),G2),"")</f>
        <v>California New Raglan</v>
      </c>
      <c r="Y2" s="60">
        <f>IFERROR(VALUE(MID($C2,1,2)),0)</f>
        <v>6</v>
      </c>
      <c r="Z2" s="49">
        <f t="shared" ref="Z2:Z66" si="0">IFERROR(VALUE(MID($C2,4,3)),0)</f>
        <v>1</v>
      </c>
      <c r="AA2" s="60">
        <f>VALUE(RIGHT("00"&amp;Y2,2)&amp;RIGHT("000"&amp;Z2,3))</f>
        <v>6001</v>
      </c>
    </row>
    <row r="3" spans="1:34">
      <c r="A3" s="83" t="str">
        <f t="shared" ref="A3:A66" si="1">IF(G3&amp;Q3&lt;&gt;"",S3&amp;Q3,"")</f>
        <v>36670A-CALIdero</v>
      </c>
      <c r="B3" s="83" t="str">
        <f t="shared" ref="B3:B66" si="2">IF(C3&lt;&gt;"",LEFT(C3,9),"")</f>
        <v>06-001-06</v>
      </c>
      <c r="C3" s="106" t="s">
        <v>867</v>
      </c>
      <c r="D3" s="106" t="s">
        <v>868</v>
      </c>
      <c r="E3" s="106" t="s">
        <v>788</v>
      </c>
      <c r="F3" s="107">
        <v>0</v>
      </c>
      <c r="G3" s="106" t="s">
        <v>864</v>
      </c>
      <c r="H3" s="106" t="s">
        <v>71</v>
      </c>
      <c r="I3" s="106" t="s">
        <v>786</v>
      </c>
      <c r="J3" s="106" t="s">
        <v>327</v>
      </c>
      <c r="K3" s="106" t="s">
        <v>382</v>
      </c>
      <c r="L3" s="106" t="s">
        <v>865</v>
      </c>
      <c r="M3" s="106" t="s">
        <v>388</v>
      </c>
      <c r="N3" s="106" t="s">
        <v>43</v>
      </c>
      <c r="O3" s="106" t="s">
        <v>541</v>
      </c>
      <c r="P3" s="106" t="s">
        <v>866</v>
      </c>
      <c r="Q3" s="106" t="s">
        <v>869</v>
      </c>
      <c r="R3" s="106" t="s">
        <v>71</v>
      </c>
      <c r="S3" s="83" t="str">
        <f t="shared" ref="S3:S66" si="3">IF(G3&lt;&gt;"",IF(StyleSpaceSplit,IFERROR(IF(FIND(" ",G3)&gt;=1,MID(G3,1,FIND(" ",G3)-1),G3),G3),G3),"")</f>
        <v>36670A-CALI</v>
      </c>
      <c r="T3" s="83" t="str">
        <f t="shared" ref="T3:T66" si="4">IF(A3&lt;&gt;"",IFERROR(IF(FIND(" ",G3)&gt;=1,MID(G3,FIND(" ",G3)+1,LEN(G3)),""),G3),"")</f>
        <v>California New Raglan</v>
      </c>
      <c r="Y3" s="60">
        <f t="shared" ref="Y3:Y66" si="5">IFERROR(VALUE(MID($C3,1,2)),0)</f>
        <v>6</v>
      </c>
      <c r="Z3" s="49">
        <f t="shared" si="0"/>
        <v>1</v>
      </c>
      <c r="AA3" s="60">
        <f t="shared" ref="AA3:AA66" si="6">VALUE(RIGHT("00"&amp;Y3,2)&amp;RIGHT("000"&amp;Z3,3))</f>
        <v>6001</v>
      </c>
    </row>
    <row r="4" spans="1:34">
      <c r="A4" s="83" t="str">
        <f t="shared" si="1"/>
        <v>36670A-NASAblk</v>
      </c>
      <c r="B4" s="83" t="str">
        <f t="shared" si="2"/>
        <v>06-002-09</v>
      </c>
      <c r="C4" s="106" t="s">
        <v>870</v>
      </c>
      <c r="D4" s="106" t="s">
        <v>871</v>
      </c>
      <c r="E4" s="106" t="s">
        <v>788</v>
      </c>
      <c r="F4" s="107">
        <v>0</v>
      </c>
      <c r="G4" s="106" t="s">
        <v>872</v>
      </c>
      <c r="H4" s="106" t="s">
        <v>53</v>
      </c>
      <c r="I4" s="106" t="s">
        <v>786</v>
      </c>
      <c r="J4" s="106" t="s">
        <v>327</v>
      </c>
      <c r="K4" s="106" t="s">
        <v>382</v>
      </c>
      <c r="L4" s="106" t="s">
        <v>873</v>
      </c>
      <c r="M4" s="106" t="s">
        <v>388</v>
      </c>
      <c r="N4" s="106" t="s">
        <v>43</v>
      </c>
      <c r="O4" s="106" t="s">
        <v>541</v>
      </c>
      <c r="P4" s="106" t="s">
        <v>866</v>
      </c>
      <c r="Q4" s="106" t="s">
        <v>843</v>
      </c>
      <c r="R4" s="106" t="s">
        <v>53</v>
      </c>
      <c r="S4" s="83" t="str">
        <f t="shared" si="3"/>
        <v>36670A-NASA</v>
      </c>
      <c r="T4" s="83" t="str">
        <f t="shared" si="4"/>
        <v>Space with NASA New Raglan</v>
      </c>
      <c r="Y4" s="60">
        <f t="shared" si="5"/>
        <v>6</v>
      </c>
      <c r="Z4" s="49">
        <f t="shared" si="0"/>
        <v>2</v>
      </c>
      <c r="AA4" s="60">
        <f t="shared" si="6"/>
        <v>6002</v>
      </c>
    </row>
    <row r="5" spans="1:34">
      <c r="A5" s="83" t="str">
        <f t="shared" si="1"/>
        <v>36670A-NYnavy</v>
      </c>
      <c r="B5" s="83" t="str">
        <f t="shared" si="2"/>
        <v>06-003-16</v>
      </c>
      <c r="C5" s="106" t="s">
        <v>874</v>
      </c>
      <c r="D5" s="106" t="s">
        <v>875</v>
      </c>
      <c r="E5" s="106" t="s">
        <v>788</v>
      </c>
      <c r="F5" s="107">
        <v>0</v>
      </c>
      <c r="G5" s="106" t="s">
        <v>876</v>
      </c>
      <c r="H5" s="106" t="s">
        <v>55</v>
      </c>
      <c r="I5" s="106" t="s">
        <v>786</v>
      </c>
      <c r="J5" s="106" t="s">
        <v>327</v>
      </c>
      <c r="K5" s="106" t="s">
        <v>382</v>
      </c>
      <c r="L5" s="106" t="s">
        <v>865</v>
      </c>
      <c r="M5" s="106" t="s">
        <v>388</v>
      </c>
      <c r="N5" s="106" t="s">
        <v>43</v>
      </c>
      <c r="O5" s="106" t="s">
        <v>541</v>
      </c>
      <c r="P5" s="106" t="s">
        <v>866</v>
      </c>
      <c r="Q5" s="106" t="s">
        <v>818</v>
      </c>
      <c r="R5" s="106" t="s">
        <v>71</v>
      </c>
      <c r="S5" s="83" t="str">
        <f t="shared" si="3"/>
        <v>36670A-NY</v>
      </c>
      <c r="T5" s="83" t="str">
        <f t="shared" si="4"/>
        <v>New York New Raglan</v>
      </c>
      <c r="Y5" s="60">
        <f t="shared" si="5"/>
        <v>6</v>
      </c>
      <c r="Z5" s="49">
        <f t="shared" si="0"/>
        <v>3</v>
      </c>
      <c r="AA5" s="60">
        <f t="shared" si="6"/>
        <v>6003</v>
      </c>
    </row>
    <row r="6" spans="1:34">
      <c r="A6" s="83" t="str">
        <f t="shared" si="1"/>
        <v>36670A-TXdero</v>
      </c>
      <c r="B6" s="83" t="str">
        <f t="shared" si="2"/>
        <v>06-004-06</v>
      </c>
      <c r="C6" s="106" t="s">
        <v>877</v>
      </c>
      <c r="D6" s="106" t="s">
        <v>878</v>
      </c>
      <c r="E6" s="106" t="s">
        <v>788</v>
      </c>
      <c r="F6" s="107">
        <v>0</v>
      </c>
      <c r="G6" s="106" t="s">
        <v>879</v>
      </c>
      <c r="H6" s="106" t="s">
        <v>71</v>
      </c>
      <c r="I6" s="106" t="s">
        <v>786</v>
      </c>
      <c r="J6" s="106" t="s">
        <v>327</v>
      </c>
      <c r="K6" s="106" t="s">
        <v>382</v>
      </c>
      <c r="L6" s="106" t="s">
        <v>880</v>
      </c>
      <c r="M6" s="106" t="s">
        <v>388</v>
      </c>
      <c r="N6" s="106" t="s">
        <v>43</v>
      </c>
      <c r="O6" s="106" t="s">
        <v>541</v>
      </c>
      <c r="P6" s="106" t="s">
        <v>866</v>
      </c>
      <c r="Q6" s="106" t="s">
        <v>869</v>
      </c>
      <c r="R6" s="106" t="s">
        <v>71</v>
      </c>
      <c r="S6" s="83" t="str">
        <f t="shared" si="3"/>
        <v>36670A-TX</v>
      </c>
      <c r="T6" s="83" t="str">
        <f t="shared" si="4"/>
        <v>Texas New Raglan</v>
      </c>
      <c r="Y6" s="60">
        <f t="shared" si="5"/>
        <v>6</v>
      </c>
      <c r="Z6" s="49">
        <f t="shared" si="0"/>
        <v>4</v>
      </c>
      <c r="AA6" s="60">
        <f t="shared" si="6"/>
        <v>6004</v>
      </c>
    </row>
    <row r="7" spans="1:34">
      <c r="A7" s="83" t="str">
        <f t="shared" si="1"/>
        <v>36672A-NAPnavy</v>
      </c>
      <c r="B7" s="83" t="str">
        <f t="shared" si="2"/>
        <v>06-005-16</v>
      </c>
      <c r="C7" s="106" t="s">
        <v>881</v>
      </c>
      <c r="D7" s="106" t="s">
        <v>882</v>
      </c>
      <c r="E7" s="106" t="s">
        <v>788</v>
      </c>
      <c r="F7" s="107">
        <v>0</v>
      </c>
      <c r="G7" s="106" t="s">
        <v>883</v>
      </c>
      <c r="H7" s="106" t="s">
        <v>55</v>
      </c>
      <c r="I7" s="106" t="s">
        <v>786</v>
      </c>
      <c r="J7" s="106" t="s">
        <v>327</v>
      </c>
      <c r="K7" s="106" t="s">
        <v>382</v>
      </c>
      <c r="L7" s="106" t="s">
        <v>884</v>
      </c>
      <c r="M7" s="106" t="s">
        <v>388</v>
      </c>
      <c r="N7" s="106" t="s">
        <v>43</v>
      </c>
      <c r="O7" s="106" t="s">
        <v>541</v>
      </c>
      <c r="P7" s="106" t="s">
        <v>866</v>
      </c>
      <c r="Q7" s="106" t="s">
        <v>818</v>
      </c>
      <c r="R7" s="106" t="s">
        <v>71</v>
      </c>
      <c r="S7" s="83" t="str">
        <f t="shared" si="3"/>
        <v>36672A-NAP</v>
      </c>
      <c r="T7" s="83" t="str">
        <f t="shared" si="4"/>
        <v>Nashville Predators New Raglan NHL</v>
      </c>
      <c r="Y7" s="60">
        <f t="shared" si="5"/>
        <v>6</v>
      </c>
      <c r="Z7" s="49">
        <f t="shared" si="0"/>
        <v>5</v>
      </c>
      <c r="AA7" s="60">
        <f t="shared" si="6"/>
        <v>6005</v>
      </c>
    </row>
    <row r="8" spans="1:34">
      <c r="A8" s="83" t="str">
        <f t="shared" si="1"/>
        <v>400A1V-CBHblrd</v>
      </c>
      <c r="B8" s="83" t="str">
        <f t="shared" si="2"/>
        <v>06-006-72</v>
      </c>
      <c r="C8" s="106" t="s">
        <v>885</v>
      </c>
      <c r="D8" s="106" t="s">
        <v>886</v>
      </c>
      <c r="E8" s="106" t="s">
        <v>788</v>
      </c>
      <c r="F8" s="107">
        <v>0</v>
      </c>
      <c r="G8" s="106" t="s">
        <v>887</v>
      </c>
      <c r="H8" s="106" t="s">
        <v>302</v>
      </c>
      <c r="I8" s="106" t="s">
        <v>888</v>
      </c>
      <c r="J8" s="106" t="s">
        <v>792</v>
      </c>
      <c r="K8" s="106" t="s">
        <v>382</v>
      </c>
      <c r="L8" s="106" t="s">
        <v>884</v>
      </c>
      <c r="M8" s="106" t="s">
        <v>388</v>
      </c>
      <c r="N8" s="106" t="s">
        <v>44</v>
      </c>
      <c r="O8" s="106" t="s">
        <v>541</v>
      </c>
      <c r="P8" s="106" t="s">
        <v>866</v>
      </c>
      <c r="Q8" s="106" t="s">
        <v>889</v>
      </c>
      <c r="R8" s="106" t="s">
        <v>53</v>
      </c>
      <c r="S8" s="83" t="str">
        <f t="shared" si="3"/>
        <v>400A1V-CBH</v>
      </c>
      <c r="T8" s="83" t="str">
        <f t="shared" si="4"/>
        <v>Chicago Blackhawks 400 Series NHL</v>
      </c>
      <c r="Y8" s="60">
        <f t="shared" si="5"/>
        <v>6</v>
      </c>
      <c r="Z8" s="49">
        <f t="shared" si="0"/>
        <v>6</v>
      </c>
      <c r="AA8" s="60">
        <f t="shared" si="6"/>
        <v>6006</v>
      </c>
    </row>
    <row r="9" spans="1:34">
      <c r="A9" s="83" t="str">
        <f t="shared" si="1"/>
        <v>400A1V-CFLrdgd</v>
      </c>
      <c r="B9" s="83" t="str">
        <f t="shared" si="2"/>
        <v>06-007-76</v>
      </c>
      <c r="C9" s="106" t="s">
        <v>890</v>
      </c>
      <c r="D9" s="106" t="s">
        <v>891</v>
      </c>
      <c r="E9" s="106" t="s">
        <v>788</v>
      </c>
      <c r="F9" s="107">
        <v>0</v>
      </c>
      <c r="G9" s="106" t="s">
        <v>892</v>
      </c>
      <c r="H9" s="106" t="s">
        <v>180</v>
      </c>
      <c r="I9" s="106" t="s">
        <v>888</v>
      </c>
      <c r="J9" s="106" t="s">
        <v>792</v>
      </c>
      <c r="K9" s="106" t="s">
        <v>382</v>
      </c>
      <c r="L9" s="106" t="s">
        <v>893</v>
      </c>
      <c r="M9" s="106" t="s">
        <v>388</v>
      </c>
      <c r="N9" s="106" t="s">
        <v>44</v>
      </c>
      <c r="O9" s="106" t="s">
        <v>541</v>
      </c>
      <c r="P9" s="106" t="s">
        <v>866</v>
      </c>
      <c r="Q9" s="106" t="s">
        <v>894</v>
      </c>
      <c r="R9" s="106" t="s">
        <v>78</v>
      </c>
      <c r="S9" s="83" t="str">
        <f t="shared" si="3"/>
        <v>400A1V-CFL</v>
      </c>
      <c r="T9" s="83" t="str">
        <f t="shared" si="4"/>
        <v>Calgary Flames 400 Series NHL</v>
      </c>
      <c r="Y9" s="60">
        <f t="shared" si="5"/>
        <v>6</v>
      </c>
      <c r="Z9" s="49">
        <f t="shared" si="0"/>
        <v>7</v>
      </c>
      <c r="AA9" s="60">
        <f t="shared" si="6"/>
        <v>6007</v>
      </c>
    </row>
    <row r="10" spans="1:34">
      <c r="A10" s="83" t="str">
        <f t="shared" si="1"/>
        <v>400A1V-CXGbkpu</v>
      </c>
      <c r="B10" s="83" t="str">
        <f t="shared" si="2"/>
        <v>06-008-09</v>
      </c>
      <c r="C10" s="106" t="s">
        <v>895</v>
      </c>
      <c r="D10" s="106" t="s">
        <v>896</v>
      </c>
      <c r="E10" s="106" t="s">
        <v>788</v>
      </c>
      <c r="F10" s="107">
        <v>0</v>
      </c>
      <c r="G10" s="106" t="s">
        <v>897</v>
      </c>
      <c r="H10" s="106" t="s">
        <v>596</v>
      </c>
      <c r="I10" s="106" t="s">
        <v>888</v>
      </c>
      <c r="J10" s="106" t="s">
        <v>792</v>
      </c>
      <c r="K10" s="106" t="s">
        <v>382</v>
      </c>
      <c r="L10" s="106" t="s">
        <v>893</v>
      </c>
      <c r="M10" s="106" t="s">
        <v>388</v>
      </c>
      <c r="N10" s="106" t="s">
        <v>44</v>
      </c>
      <c r="O10" s="106" t="s">
        <v>541</v>
      </c>
      <c r="P10" s="106" t="s">
        <v>866</v>
      </c>
      <c r="Q10" s="106" t="s">
        <v>898</v>
      </c>
      <c r="R10" s="106" t="s">
        <v>53</v>
      </c>
      <c r="S10" s="83" t="str">
        <f t="shared" si="3"/>
        <v>400A1V-CXG</v>
      </c>
      <c r="T10" s="83" t="str">
        <f t="shared" si="4"/>
        <v>Cuban X-Giants 400 Series MILB</v>
      </c>
      <c r="Y10" s="60">
        <f t="shared" si="5"/>
        <v>6</v>
      </c>
      <c r="Z10" s="49">
        <f t="shared" si="0"/>
        <v>8</v>
      </c>
      <c r="AA10" s="60">
        <f t="shared" si="6"/>
        <v>6008</v>
      </c>
    </row>
    <row r="11" spans="1:34">
      <c r="A11" s="83" t="str">
        <f t="shared" si="1"/>
        <v>400A1V-DRWred</v>
      </c>
      <c r="B11" s="83" t="str">
        <f t="shared" si="2"/>
        <v>06-009-18</v>
      </c>
      <c r="C11" s="106" t="s">
        <v>899</v>
      </c>
      <c r="D11" s="106" t="s">
        <v>900</v>
      </c>
      <c r="E11" s="106" t="s">
        <v>788</v>
      </c>
      <c r="F11" s="107">
        <v>0</v>
      </c>
      <c r="G11" s="106" t="s">
        <v>901</v>
      </c>
      <c r="H11" s="106" t="s">
        <v>78</v>
      </c>
      <c r="I11" s="106" t="s">
        <v>888</v>
      </c>
      <c r="J11" s="106" t="s">
        <v>792</v>
      </c>
      <c r="K11" s="106" t="s">
        <v>382</v>
      </c>
      <c r="L11" s="106" t="s">
        <v>893</v>
      </c>
      <c r="M11" s="106" t="s">
        <v>388</v>
      </c>
      <c r="N11" s="106" t="s">
        <v>44</v>
      </c>
      <c r="O11" s="106" t="s">
        <v>541</v>
      </c>
      <c r="P11" s="106" t="s">
        <v>866</v>
      </c>
      <c r="Q11" s="106" t="s">
        <v>822</v>
      </c>
      <c r="R11" s="106" t="s">
        <v>78</v>
      </c>
      <c r="S11" s="83" t="str">
        <f t="shared" si="3"/>
        <v>400A1V-DRW</v>
      </c>
      <c r="T11" s="83" t="str">
        <f t="shared" si="4"/>
        <v>Detroit Red Wings 400 Series NHL</v>
      </c>
      <c r="Y11" s="60">
        <f t="shared" si="5"/>
        <v>6</v>
      </c>
      <c r="Z11" s="49">
        <f t="shared" si="0"/>
        <v>9</v>
      </c>
      <c r="AA11" s="60">
        <f t="shared" si="6"/>
        <v>6009</v>
      </c>
    </row>
    <row r="12" spans="1:34">
      <c r="A12" s="83" t="str">
        <f t="shared" si="1"/>
        <v>400A1V-HAIkgrn</v>
      </c>
      <c r="B12" s="83" t="str">
        <f t="shared" si="2"/>
        <v>06-010-11</v>
      </c>
      <c r="C12" s="106" t="s">
        <v>902</v>
      </c>
      <c r="D12" s="106" t="s">
        <v>903</v>
      </c>
      <c r="E12" s="106" t="s">
        <v>788</v>
      </c>
      <c r="F12" s="107">
        <v>0</v>
      </c>
      <c r="G12" s="106" t="s">
        <v>904</v>
      </c>
      <c r="H12" s="106" t="s">
        <v>60</v>
      </c>
      <c r="I12" s="106" t="s">
        <v>888</v>
      </c>
      <c r="J12" s="106" t="s">
        <v>792</v>
      </c>
      <c r="K12" s="106" t="s">
        <v>382</v>
      </c>
      <c r="L12" s="106" t="s">
        <v>893</v>
      </c>
      <c r="M12" s="106" t="s">
        <v>388</v>
      </c>
      <c r="N12" s="106" t="s">
        <v>44</v>
      </c>
      <c r="O12" s="106" t="s">
        <v>541</v>
      </c>
      <c r="P12" s="106" t="s">
        <v>866</v>
      </c>
      <c r="Q12" s="106" t="s">
        <v>905</v>
      </c>
      <c r="R12" s="106" t="s">
        <v>60</v>
      </c>
      <c r="S12" s="83" t="str">
        <f t="shared" si="3"/>
        <v>400A1V-HAI</v>
      </c>
      <c r="T12" s="83" t="str">
        <f t="shared" si="4"/>
        <v>Hawaii Islanders 400 Series MILB</v>
      </c>
      <c r="Y12" s="60">
        <f t="shared" si="5"/>
        <v>6</v>
      </c>
      <c r="Z12" s="49">
        <f t="shared" si="0"/>
        <v>10</v>
      </c>
      <c r="AA12" s="60">
        <f t="shared" si="6"/>
        <v>6010</v>
      </c>
    </row>
    <row r="13" spans="1:34">
      <c r="A13" s="83" t="str">
        <f t="shared" si="1"/>
        <v>400A1V-HOSgyrd</v>
      </c>
      <c r="B13" s="83" t="str">
        <f t="shared" si="2"/>
        <v>06-011-08</v>
      </c>
      <c r="C13" s="106" t="s">
        <v>906</v>
      </c>
      <c r="D13" s="106" t="s">
        <v>907</v>
      </c>
      <c r="E13" s="106" t="s">
        <v>788</v>
      </c>
      <c r="F13" s="107">
        <v>0</v>
      </c>
      <c r="G13" s="106" t="s">
        <v>908</v>
      </c>
      <c r="H13" s="106" t="s">
        <v>241</v>
      </c>
      <c r="I13" s="106" t="s">
        <v>888</v>
      </c>
      <c r="J13" s="106" t="s">
        <v>792</v>
      </c>
      <c r="K13" s="106" t="s">
        <v>382</v>
      </c>
      <c r="L13" s="106" t="s">
        <v>893</v>
      </c>
      <c r="M13" s="106" t="s">
        <v>388</v>
      </c>
      <c r="N13" s="106" t="s">
        <v>44</v>
      </c>
      <c r="O13" s="106" t="s">
        <v>541</v>
      </c>
      <c r="P13" s="106" t="s">
        <v>866</v>
      </c>
      <c r="Q13" s="106" t="s">
        <v>909</v>
      </c>
      <c r="R13" s="106" t="s">
        <v>83</v>
      </c>
      <c r="S13" s="83" t="str">
        <f t="shared" si="3"/>
        <v>400A1V-HOS</v>
      </c>
      <c r="T13" s="83" t="str">
        <f t="shared" si="4"/>
        <v>Hollywood Stars 400 Series MILB</v>
      </c>
      <c r="Y13" s="60">
        <f t="shared" si="5"/>
        <v>6</v>
      </c>
      <c r="Z13" s="49">
        <f t="shared" si="0"/>
        <v>11</v>
      </c>
      <c r="AA13" s="60">
        <f t="shared" si="6"/>
        <v>6011</v>
      </c>
    </row>
    <row r="14" spans="1:34">
      <c r="A14" s="83" t="str">
        <f t="shared" si="1"/>
        <v>400A1V-LAKbllg</v>
      </c>
      <c r="B14" s="83" t="str">
        <f t="shared" si="2"/>
        <v>06-012-10</v>
      </c>
      <c r="C14" s="106" t="s">
        <v>910</v>
      </c>
      <c r="D14" s="106" t="s">
        <v>911</v>
      </c>
      <c r="E14" s="106" t="s">
        <v>788</v>
      </c>
      <c r="F14" s="107">
        <v>0</v>
      </c>
      <c r="G14" s="106" t="s">
        <v>912</v>
      </c>
      <c r="H14" s="106" t="s">
        <v>308</v>
      </c>
      <c r="I14" s="106" t="s">
        <v>888</v>
      </c>
      <c r="J14" s="106" t="s">
        <v>792</v>
      </c>
      <c r="K14" s="106" t="s">
        <v>382</v>
      </c>
      <c r="L14" s="106" t="s">
        <v>893</v>
      </c>
      <c r="M14" s="106" t="s">
        <v>388</v>
      </c>
      <c r="N14" s="106" t="s">
        <v>44</v>
      </c>
      <c r="O14" s="106" t="s">
        <v>541</v>
      </c>
      <c r="P14" s="106" t="s">
        <v>866</v>
      </c>
      <c r="Q14" s="106" t="s">
        <v>913</v>
      </c>
      <c r="R14" s="106" t="s">
        <v>53</v>
      </c>
      <c r="S14" s="83" t="str">
        <f t="shared" si="3"/>
        <v>400A1V-LAK</v>
      </c>
      <c r="T14" s="83" t="str">
        <f t="shared" si="4"/>
        <v>Los Angeles Kings 400 Series NHL</v>
      </c>
      <c r="Y14" s="60">
        <f t="shared" si="5"/>
        <v>6</v>
      </c>
      <c r="Z14" s="49">
        <f t="shared" si="0"/>
        <v>12</v>
      </c>
      <c r="AA14" s="60">
        <f t="shared" si="6"/>
        <v>6012</v>
      </c>
    </row>
    <row r="15" spans="1:34">
      <c r="A15" s="83" t="str">
        <f t="shared" si="1"/>
        <v>400A1V-LOSroy</v>
      </c>
      <c r="B15" s="83" t="str">
        <f t="shared" si="2"/>
        <v>06-013-06</v>
      </c>
      <c r="C15" s="106" t="s">
        <v>914</v>
      </c>
      <c r="D15" s="106" t="s">
        <v>915</v>
      </c>
      <c r="E15" s="106" t="s">
        <v>788</v>
      </c>
      <c r="F15" s="107">
        <v>0</v>
      </c>
      <c r="G15" s="106" t="s">
        <v>916</v>
      </c>
      <c r="H15" s="106" t="s">
        <v>71</v>
      </c>
      <c r="I15" s="106" t="s">
        <v>888</v>
      </c>
      <c r="J15" s="106" t="s">
        <v>792</v>
      </c>
      <c r="K15" s="106" t="s">
        <v>382</v>
      </c>
      <c r="L15" s="106" t="s">
        <v>893</v>
      </c>
      <c r="M15" s="106" t="s">
        <v>388</v>
      </c>
      <c r="N15" s="106" t="s">
        <v>44</v>
      </c>
      <c r="O15" s="106" t="s">
        <v>541</v>
      </c>
      <c r="P15" s="106" t="s">
        <v>866</v>
      </c>
      <c r="Q15" s="106" t="s">
        <v>917</v>
      </c>
      <c r="R15" s="106" t="s">
        <v>71</v>
      </c>
      <c r="S15" s="83" t="str">
        <f t="shared" si="3"/>
        <v>400A1V-LOS</v>
      </c>
      <c r="T15" s="83" t="str">
        <f t="shared" si="4"/>
        <v>Los Angeles Angels 400 Series MILB</v>
      </c>
      <c r="Y15" s="60">
        <f t="shared" si="5"/>
        <v>6</v>
      </c>
      <c r="Z15" s="49">
        <f t="shared" si="0"/>
        <v>13</v>
      </c>
      <c r="AA15" s="60">
        <f t="shared" si="6"/>
        <v>6013</v>
      </c>
    </row>
    <row r="16" spans="1:34">
      <c r="A16" s="83" t="str">
        <f t="shared" si="1"/>
        <v>400A1V-MOCnvrd</v>
      </c>
      <c r="B16" s="83" t="str">
        <f t="shared" si="2"/>
        <v>06-014-21</v>
      </c>
      <c r="C16" s="106" t="s">
        <v>918</v>
      </c>
      <c r="D16" s="106" t="s">
        <v>919</v>
      </c>
      <c r="E16" s="106" t="s">
        <v>788</v>
      </c>
      <c r="F16" s="107">
        <v>0</v>
      </c>
      <c r="G16" s="106" t="s">
        <v>920</v>
      </c>
      <c r="H16" s="106" t="s">
        <v>252</v>
      </c>
      <c r="I16" s="106" t="s">
        <v>888</v>
      </c>
      <c r="J16" s="106" t="s">
        <v>792</v>
      </c>
      <c r="K16" s="106" t="s">
        <v>382</v>
      </c>
      <c r="L16" s="106" t="s">
        <v>884</v>
      </c>
      <c r="M16" s="106" t="s">
        <v>388</v>
      </c>
      <c r="N16" s="106" t="s">
        <v>44</v>
      </c>
      <c r="O16" s="106" t="s">
        <v>541</v>
      </c>
      <c r="P16" s="106" t="s">
        <v>866</v>
      </c>
      <c r="Q16" s="106" t="s">
        <v>921</v>
      </c>
      <c r="R16" s="106" t="s">
        <v>71</v>
      </c>
      <c r="S16" s="83" t="str">
        <f t="shared" si="3"/>
        <v>400A1V-MOC</v>
      </c>
      <c r="T16" s="83" t="str">
        <f t="shared" si="4"/>
        <v>Montreal Canadiens 400 Series NHL</v>
      </c>
      <c r="Y16" s="60">
        <f t="shared" si="5"/>
        <v>6</v>
      </c>
      <c r="Z16" s="49">
        <f t="shared" si="0"/>
        <v>14</v>
      </c>
      <c r="AA16" s="60">
        <f t="shared" si="6"/>
        <v>6014</v>
      </c>
    </row>
    <row r="17" spans="1:27">
      <c r="A17" s="83" t="str">
        <f t="shared" si="1"/>
        <v>400A1V-NYRroy</v>
      </c>
      <c r="B17" s="83" t="str">
        <f t="shared" si="2"/>
        <v>06-015-06</v>
      </c>
      <c r="C17" s="106" t="s">
        <v>922</v>
      </c>
      <c r="D17" s="106" t="s">
        <v>923</v>
      </c>
      <c r="E17" s="106" t="s">
        <v>788</v>
      </c>
      <c r="F17" s="107">
        <v>0</v>
      </c>
      <c r="G17" s="106" t="s">
        <v>924</v>
      </c>
      <c r="H17" s="106" t="s">
        <v>71</v>
      </c>
      <c r="I17" s="106" t="s">
        <v>888</v>
      </c>
      <c r="J17" s="106" t="s">
        <v>792</v>
      </c>
      <c r="K17" s="106" t="s">
        <v>382</v>
      </c>
      <c r="L17" s="106" t="s">
        <v>884</v>
      </c>
      <c r="M17" s="106" t="s">
        <v>388</v>
      </c>
      <c r="N17" s="106" t="s">
        <v>44</v>
      </c>
      <c r="O17" s="106" t="s">
        <v>541</v>
      </c>
      <c r="P17" s="106" t="s">
        <v>866</v>
      </c>
      <c r="Q17" s="106" t="s">
        <v>917</v>
      </c>
      <c r="R17" s="106" t="s">
        <v>71</v>
      </c>
      <c r="S17" s="83" t="str">
        <f t="shared" si="3"/>
        <v>400A1V-NYR</v>
      </c>
      <c r="T17" s="83" t="str">
        <f t="shared" si="4"/>
        <v>New York Rangers 400 Series NHL</v>
      </c>
      <c r="Y17" s="60">
        <f t="shared" si="5"/>
        <v>6</v>
      </c>
      <c r="Z17" s="49">
        <f t="shared" si="0"/>
        <v>15</v>
      </c>
      <c r="AA17" s="60">
        <f t="shared" si="6"/>
        <v>6015</v>
      </c>
    </row>
    <row r="18" spans="1:27">
      <c r="A18" s="83" t="str">
        <f t="shared" si="1"/>
        <v>400A1V-PCObkca</v>
      </c>
      <c r="B18" s="83" t="str">
        <f t="shared" si="2"/>
        <v>06-016-09</v>
      </c>
      <c r="C18" s="106" t="s">
        <v>925</v>
      </c>
      <c r="D18" s="106" t="s">
        <v>926</v>
      </c>
      <c r="E18" s="106" t="s">
        <v>788</v>
      </c>
      <c r="F18" s="107">
        <v>0</v>
      </c>
      <c r="G18" s="106" t="s">
        <v>927</v>
      </c>
      <c r="H18" s="106" t="s">
        <v>294</v>
      </c>
      <c r="I18" s="106" t="s">
        <v>888</v>
      </c>
      <c r="J18" s="106" t="s">
        <v>792</v>
      </c>
      <c r="K18" s="106" t="s">
        <v>382</v>
      </c>
      <c r="L18" s="106" t="s">
        <v>893</v>
      </c>
      <c r="M18" s="106" t="s">
        <v>388</v>
      </c>
      <c r="N18" s="106" t="s">
        <v>44</v>
      </c>
      <c r="O18" s="106" t="s">
        <v>541</v>
      </c>
      <c r="P18" s="106" t="s">
        <v>866</v>
      </c>
      <c r="Q18" s="106" t="s">
        <v>928</v>
      </c>
      <c r="R18" s="106" t="s">
        <v>53</v>
      </c>
      <c r="S18" s="83" t="str">
        <f t="shared" si="3"/>
        <v>400A1V-PCO</v>
      </c>
      <c r="T18" s="83" t="str">
        <f t="shared" si="4"/>
        <v>Arizona Coyotes 400 Series NHL</v>
      </c>
      <c r="Y18" s="60">
        <f t="shared" si="5"/>
        <v>6</v>
      </c>
      <c r="Z18" s="49">
        <f t="shared" si="0"/>
        <v>16</v>
      </c>
      <c r="AA18" s="60">
        <f t="shared" si="6"/>
        <v>6016</v>
      </c>
    </row>
    <row r="19" spans="1:27">
      <c r="A19" s="83" t="str">
        <f t="shared" si="1"/>
        <v>400A1V-PHFblor</v>
      </c>
      <c r="B19" s="83" t="str">
        <f t="shared" si="2"/>
        <v>06-017-09</v>
      </c>
      <c r="C19" s="106" t="s">
        <v>929</v>
      </c>
      <c r="D19" s="106" t="s">
        <v>930</v>
      </c>
      <c r="E19" s="106" t="s">
        <v>788</v>
      </c>
      <c r="F19" s="107">
        <v>0</v>
      </c>
      <c r="G19" s="106" t="s">
        <v>931</v>
      </c>
      <c r="H19" s="106" t="s">
        <v>306</v>
      </c>
      <c r="I19" s="106" t="s">
        <v>888</v>
      </c>
      <c r="J19" s="106" t="s">
        <v>792</v>
      </c>
      <c r="K19" s="106" t="s">
        <v>382</v>
      </c>
      <c r="L19" s="106" t="s">
        <v>893</v>
      </c>
      <c r="M19" s="106" t="s">
        <v>388</v>
      </c>
      <c r="N19" s="106" t="s">
        <v>44</v>
      </c>
      <c r="O19" s="106" t="s">
        <v>541</v>
      </c>
      <c r="P19" s="106" t="s">
        <v>866</v>
      </c>
      <c r="Q19" s="106" t="s">
        <v>932</v>
      </c>
      <c r="R19" s="106" t="s">
        <v>53</v>
      </c>
      <c r="S19" s="83" t="str">
        <f t="shared" si="3"/>
        <v>400A1V-PHF</v>
      </c>
      <c r="T19" s="83" t="str">
        <f t="shared" si="4"/>
        <v>Philadelphia Flyers 400 Series NHL</v>
      </c>
      <c r="Y19" s="60">
        <f t="shared" si="5"/>
        <v>6</v>
      </c>
      <c r="Z19" s="49">
        <f t="shared" si="0"/>
        <v>17</v>
      </c>
      <c r="AA19" s="60">
        <f t="shared" si="6"/>
        <v>6017</v>
      </c>
    </row>
    <row r="20" spans="1:27">
      <c r="A20" s="83" t="str">
        <f t="shared" si="1"/>
        <v>400A1V-TMLroy</v>
      </c>
      <c r="B20" s="83" t="str">
        <f t="shared" si="2"/>
        <v>06-018-06</v>
      </c>
      <c r="C20" s="106" t="s">
        <v>933</v>
      </c>
      <c r="D20" s="106" t="s">
        <v>934</v>
      </c>
      <c r="E20" s="106" t="s">
        <v>788</v>
      </c>
      <c r="F20" s="107">
        <v>0</v>
      </c>
      <c r="G20" s="106" t="s">
        <v>935</v>
      </c>
      <c r="H20" s="106" t="s">
        <v>71</v>
      </c>
      <c r="I20" s="106" t="s">
        <v>888</v>
      </c>
      <c r="J20" s="106" t="s">
        <v>792</v>
      </c>
      <c r="K20" s="106" t="s">
        <v>382</v>
      </c>
      <c r="L20" s="106" t="s">
        <v>893</v>
      </c>
      <c r="M20" s="106" t="s">
        <v>388</v>
      </c>
      <c r="N20" s="106" t="s">
        <v>44</v>
      </c>
      <c r="O20" s="106" t="s">
        <v>541</v>
      </c>
      <c r="P20" s="106" t="s">
        <v>866</v>
      </c>
      <c r="Q20" s="106" t="s">
        <v>917</v>
      </c>
      <c r="R20" s="106" t="s">
        <v>71</v>
      </c>
      <c r="S20" s="83" t="str">
        <f t="shared" si="3"/>
        <v>400A1V-TML</v>
      </c>
      <c r="T20" s="83" t="str">
        <f t="shared" si="4"/>
        <v>Toronto Maple Leafs 400 Series NHL</v>
      </c>
      <c r="Y20" s="60">
        <f t="shared" si="5"/>
        <v>6</v>
      </c>
      <c r="Z20" s="49">
        <f t="shared" si="0"/>
        <v>18</v>
      </c>
      <c r="AA20" s="60">
        <f t="shared" si="6"/>
        <v>6018</v>
      </c>
    </row>
    <row r="21" spans="1:27">
      <c r="A21" s="83" t="str">
        <f t="shared" si="1"/>
        <v>400A1V-WACrdry</v>
      </c>
      <c r="B21" s="83" t="str">
        <f t="shared" si="2"/>
        <v>06-019-18</v>
      </c>
      <c r="C21" s="106" t="s">
        <v>936</v>
      </c>
      <c r="D21" s="106" t="s">
        <v>937</v>
      </c>
      <c r="E21" s="106" t="s">
        <v>788</v>
      </c>
      <c r="F21" s="107">
        <v>0</v>
      </c>
      <c r="G21" s="106" t="s">
        <v>938</v>
      </c>
      <c r="H21" s="106" t="s">
        <v>185</v>
      </c>
      <c r="I21" s="106" t="s">
        <v>888</v>
      </c>
      <c r="J21" s="106" t="s">
        <v>792</v>
      </c>
      <c r="K21" s="106" t="s">
        <v>382</v>
      </c>
      <c r="L21" s="106" t="s">
        <v>893</v>
      </c>
      <c r="M21" s="106" t="s">
        <v>388</v>
      </c>
      <c r="N21" s="106" t="s">
        <v>44</v>
      </c>
      <c r="O21" s="106" t="s">
        <v>541</v>
      </c>
      <c r="P21" s="106" t="s">
        <v>866</v>
      </c>
      <c r="Q21" s="106" t="s">
        <v>939</v>
      </c>
      <c r="R21" s="106" t="s">
        <v>78</v>
      </c>
      <c r="S21" s="83" t="str">
        <f t="shared" si="3"/>
        <v>400A1V-WAC</v>
      </c>
      <c r="T21" s="83" t="str">
        <f t="shared" si="4"/>
        <v>Washington Capitals 400 Series NHL</v>
      </c>
      <c r="Y21" s="60">
        <f t="shared" si="5"/>
        <v>6</v>
      </c>
      <c r="Z21" s="49">
        <f t="shared" si="0"/>
        <v>19</v>
      </c>
      <c r="AA21" s="60">
        <f t="shared" si="6"/>
        <v>6019</v>
      </c>
    </row>
    <row r="22" spans="1:27">
      <c r="A22" s="83" t="str">
        <f t="shared" si="1"/>
        <v>400A2V-CBHrdbl</v>
      </c>
      <c r="B22" s="83" t="str">
        <f t="shared" si="2"/>
        <v>06-020-72</v>
      </c>
      <c r="C22" s="106" t="s">
        <v>940</v>
      </c>
      <c r="D22" s="106" t="s">
        <v>941</v>
      </c>
      <c r="E22" s="106" t="s">
        <v>788</v>
      </c>
      <c r="F22" s="107">
        <v>0</v>
      </c>
      <c r="G22" s="106" t="s">
        <v>942</v>
      </c>
      <c r="H22" s="106" t="s">
        <v>186</v>
      </c>
      <c r="I22" s="106" t="s">
        <v>888</v>
      </c>
      <c r="J22" s="106" t="s">
        <v>792</v>
      </c>
      <c r="K22" s="106" t="s">
        <v>382</v>
      </c>
      <c r="L22" s="106" t="s">
        <v>884</v>
      </c>
      <c r="M22" s="106" t="s">
        <v>388</v>
      </c>
      <c r="N22" s="106" t="s">
        <v>44</v>
      </c>
      <c r="O22" s="106" t="s">
        <v>541</v>
      </c>
      <c r="P22" s="106" t="s">
        <v>866</v>
      </c>
      <c r="Q22" s="106" t="s">
        <v>943</v>
      </c>
      <c r="R22" s="106" t="s">
        <v>78</v>
      </c>
      <c r="S22" s="83" t="str">
        <f t="shared" si="3"/>
        <v>400A2V-CBH</v>
      </c>
      <c r="T22" s="83" t="str">
        <f t="shared" si="4"/>
        <v>Chicago Blackhawks 400 Series NHL</v>
      </c>
      <c r="Y22" s="60">
        <f t="shared" si="5"/>
        <v>6</v>
      </c>
      <c r="Z22" s="49">
        <f t="shared" si="0"/>
        <v>20</v>
      </c>
      <c r="AA22" s="60">
        <f t="shared" si="6"/>
        <v>6020</v>
      </c>
    </row>
    <row r="23" spans="1:27">
      <c r="A23" s="83" t="str">
        <f t="shared" si="1"/>
        <v>400A2V-LAKblk</v>
      </c>
      <c r="B23" s="83" t="str">
        <f t="shared" si="2"/>
        <v>06-021-09</v>
      </c>
      <c r="C23" s="106" t="s">
        <v>944</v>
      </c>
      <c r="D23" s="106" t="s">
        <v>945</v>
      </c>
      <c r="E23" s="106" t="s">
        <v>788</v>
      </c>
      <c r="F23" s="107">
        <v>0</v>
      </c>
      <c r="G23" s="106" t="s">
        <v>946</v>
      </c>
      <c r="H23" s="106" t="s">
        <v>53</v>
      </c>
      <c r="I23" s="106" t="s">
        <v>888</v>
      </c>
      <c r="J23" s="106" t="s">
        <v>792</v>
      </c>
      <c r="K23" s="106" t="s">
        <v>382</v>
      </c>
      <c r="L23" s="106" t="s">
        <v>893</v>
      </c>
      <c r="M23" s="106" t="s">
        <v>388</v>
      </c>
      <c r="N23" s="106" t="s">
        <v>44</v>
      </c>
      <c r="O23" s="106" t="s">
        <v>541</v>
      </c>
      <c r="P23" s="106" t="s">
        <v>866</v>
      </c>
      <c r="Q23" s="106" t="s">
        <v>843</v>
      </c>
      <c r="R23" s="106" t="s">
        <v>53</v>
      </c>
      <c r="S23" s="83" t="str">
        <f t="shared" si="3"/>
        <v>400A2V-LAK</v>
      </c>
      <c r="T23" s="83" t="str">
        <f t="shared" si="4"/>
        <v>Los Angeles Kings 400 Series NHL</v>
      </c>
      <c r="Y23" s="60">
        <f t="shared" si="5"/>
        <v>6</v>
      </c>
      <c r="Z23" s="49">
        <f t="shared" si="0"/>
        <v>21</v>
      </c>
      <c r="AA23" s="60">
        <f t="shared" si="6"/>
        <v>6021</v>
      </c>
    </row>
    <row r="24" spans="1:27">
      <c r="A24" s="83" t="str">
        <f t="shared" si="1"/>
        <v>400A2V-NYIblk</v>
      </c>
      <c r="B24" s="83" t="str">
        <f t="shared" si="2"/>
        <v>06-022-09</v>
      </c>
      <c r="C24" s="106" t="s">
        <v>947</v>
      </c>
      <c r="D24" s="106" t="s">
        <v>948</v>
      </c>
      <c r="E24" s="106" t="s">
        <v>788</v>
      </c>
      <c r="F24" s="107">
        <v>0</v>
      </c>
      <c r="G24" s="106" t="s">
        <v>949</v>
      </c>
      <c r="H24" s="106" t="s">
        <v>53</v>
      </c>
      <c r="I24" s="106" t="s">
        <v>888</v>
      </c>
      <c r="J24" s="106" t="s">
        <v>792</v>
      </c>
      <c r="K24" s="106" t="s">
        <v>382</v>
      </c>
      <c r="L24" s="106" t="s">
        <v>893</v>
      </c>
      <c r="M24" s="106" t="s">
        <v>388</v>
      </c>
      <c r="N24" s="106" t="s">
        <v>44</v>
      </c>
      <c r="O24" s="106" t="s">
        <v>541</v>
      </c>
      <c r="P24" s="106" t="s">
        <v>866</v>
      </c>
      <c r="Q24" s="106" t="s">
        <v>843</v>
      </c>
      <c r="R24" s="106" t="s">
        <v>53</v>
      </c>
      <c r="S24" s="83" t="str">
        <f t="shared" si="3"/>
        <v>400A2V-NYI</v>
      </c>
      <c r="T24" s="83" t="str">
        <f t="shared" si="4"/>
        <v>New York Islanders 400 Series NHL</v>
      </c>
      <c r="Y24" s="60">
        <f t="shared" si="5"/>
        <v>6</v>
      </c>
      <c r="Z24" s="49">
        <f t="shared" si="0"/>
        <v>22</v>
      </c>
      <c r="AA24" s="60">
        <f t="shared" si="6"/>
        <v>6022</v>
      </c>
    </row>
    <row r="25" spans="1:27">
      <c r="A25" s="83" t="str">
        <f t="shared" si="1"/>
        <v>400A2V-NYRnvrd</v>
      </c>
      <c r="B25" s="83" t="str">
        <f t="shared" si="2"/>
        <v>06-023-21</v>
      </c>
      <c r="C25" s="106" t="s">
        <v>950</v>
      </c>
      <c r="D25" s="106" t="s">
        <v>951</v>
      </c>
      <c r="E25" s="106" t="s">
        <v>788</v>
      </c>
      <c r="F25" s="107">
        <v>0</v>
      </c>
      <c r="G25" s="106" t="s">
        <v>952</v>
      </c>
      <c r="H25" s="106" t="s">
        <v>252</v>
      </c>
      <c r="I25" s="106" t="s">
        <v>888</v>
      </c>
      <c r="J25" s="106" t="s">
        <v>792</v>
      </c>
      <c r="K25" s="106" t="s">
        <v>382</v>
      </c>
      <c r="L25" s="106" t="s">
        <v>884</v>
      </c>
      <c r="M25" s="106" t="s">
        <v>388</v>
      </c>
      <c r="N25" s="106" t="s">
        <v>44</v>
      </c>
      <c r="O25" s="106" t="s">
        <v>541</v>
      </c>
      <c r="P25" s="106" t="s">
        <v>866</v>
      </c>
      <c r="Q25" s="106" t="s">
        <v>921</v>
      </c>
      <c r="R25" s="106" t="s">
        <v>71</v>
      </c>
      <c r="S25" s="83" t="str">
        <f t="shared" si="3"/>
        <v>400A2V-NYR</v>
      </c>
      <c r="T25" s="83" t="str">
        <f t="shared" si="4"/>
        <v>New York Rangers 400 Series NHL</v>
      </c>
      <c r="Y25" s="60">
        <f t="shared" si="5"/>
        <v>6</v>
      </c>
      <c r="Z25" s="49">
        <f t="shared" si="0"/>
        <v>23</v>
      </c>
      <c r="AA25" s="60">
        <f t="shared" si="6"/>
        <v>6023</v>
      </c>
    </row>
    <row r="26" spans="1:27">
      <c r="A26" s="83" t="str">
        <f t="shared" si="1"/>
        <v>400A4V-CBHlbdr</v>
      </c>
      <c r="B26" s="83" t="str">
        <f t="shared" si="2"/>
        <v>06-024-19</v>
      </c>
      <c r="C26" s="106" t="s">
        <v>953</v>
      </c>
      <c r="D26" s="106" t="s">
        <v>954</v>
      </c>
      <c r="E26" s="106" t="s">
        <v>788</v>
      </c>
      <c r="F26" s="107">
        <v>0</v>
      </c>
      <c r="G26" s="106" t="s">
        <v>955</v>
      </c>
      <c r="H26" s="106" t="s">
        <v>135</v>
      </c>
      <c r="I26" s="106" t="s">
        <v>888</v>
      </c>
      <c r="J26" s="106" t="s">
        <v>792</v>
      </c>
      <c r="K26" s="106" t="s">
        <v>382</v>
      </c>
      <c r="L26" s="106" t="s">
        <v>893</v>
      </c>
      <c r="M26" s="106" t="s">
        <v>388</v>
      </c>
      <c r="N26" s="106" t="s">
        <v>44</v>
      </c>
      <c r="O26" s="106" t="s">
        <v>541</v>
      </c>
      <c r="P26" s="106" t="s">
        <v>866</v>
      </c>
      <c r="Q26" s="106" t="s">
        <v>956</v>
      </c>
      <c r="R26" s="106" t="s">
        <v>91</v>
      </c>
      <c r="S26" s="83" t="str">
        <f t="shared" si="3"/>
        <v>400A4V-CBH</v>
      </c>
      <c r="T26" s="83" t="str">
        <f t="shared" si="4"/>
        <v>Chicago Blackhawks 400 Series NHL</v>
      </c>
      <c r="Y26" s="60">
        <f t="shared" si="5"/>
        <v>6</v>
      </c>
      <c r="Z26" s="49">
        <f t="shared" si="0"/>
        <v>24</v>
      </c>
      <c r="AA26" s="60">
        <f t="shared" si="6"/>
        <v>6024</v>
      </c>
    </row>
    <row r="27" spans="1:27">
      <c r="A27" s="83" t="str">
        <f t="shared" si="1"/>
        <v>40742A-AMDblk</v>
      </c>
      <c r="B27" s="83" t="str">
        <f t="shared" si="2"/>
        <v>06-025-09</v>
      </c>
      <c r="C27" s="106" t="s">
        <v>957</v>
      </c>
      <c r="D27" s="106" t="s">
        <v>958</v>
      </c>
      <c r="E27" s="106" t="s">
        <v>788</v>
      </c>
      <c r="F27" s="107">
        <v>0</v>
      </c>
      <c r="G27" s="106" t="s">
        <v>959</v>
      </c>
      <c r="H27" s="106" t="s">
        <v>53</v>
      </c>
      <c r="I27" s="106" t="s">
        <v>786</v>
      </c>
      <c r="J27" s="106" t="s">
        <v>327</v>
      </c>
      <c r="K27" s="106" t="s">
        <v>382</v>
      </c>
      <c r="L27" s="106" t="s">
        <v>893</v>
      </c>
      <c r="M27" s="106" t="s">
        <v>388</v>
      </c>
      <c r="N27" s="106" t="s">
        <v>43</v>
      </c>
      <c r="O27" s="106" t="s">
        <v>541</v>
      </c>
      <c r="P27" s="106" t="s">
        <v>866</v>
      </c>
      <c r="Q27" s="106" t="s">
        <v>843</v>
      </c>
      <c r="R27" s="106" t="s">
        <v>53</v>
      </c>
      <c r="S27" s="83" t="str">
        <f t="shared" si="3"/>
        <v>40742A-AMD</v>
      </c>
      <c r="T27" s="83" t="str">
        <f t="shared" si="4"/>
        <v>Anaheim Ducks Blue Line NHL</v>
      </c>
      <c r="Y27" s="60">
        <f t="shared" si="5"/>
        <v>6</v>
      </c>
      <c r="Z27" s="49">
        <f t="shared" si="0"/>
        <v>25</v>
      </c>
      <c r="AA27" s="60">
        <f t="shared" si="6"/>
        <v>6025</v>
      </c>
    </row>
    <row r="28" spans="1:27">
      <c r="A28" s="83" t="str">
        <f t="shared" si="1"/>
        <v>40742A-CBJnavy</v>
      </c>
      <c r="B28" s="83" t="str">
        <f t="shared" si="2"/>
        <v>06-026-16</v>
      </c>
      <c r="C28" s="106" t="s">
        <v>960</v>
      </c>
      <c r="D28" s="106" t="s">
        <v>961</v>
      </c>
      <c r="E28" s="106" t="s">
        <v>788</v>
      </c>
      <c r="F28" s="107">
        <v>0</v>
      </c>
      <c r="G28" s="106" t="s">
        <v>962</v>
      </c>
      <c r="H28" s="106" t="s">
        <v>55</v>
      </c>
      <c r="I28" s="106" t="s">
        <v>786</v>
      </c>
      <c r="J28" s="106" t="s">
        <v>327</v>
      </c>
      <c r="K28" s="106" t="s">
        <v>382</v>
      </c>
      <c r="L28" s="106" t="s">
        <v>884</v>
      </c>
      <c r="M28" s="106" t="s">
        <v>388</v>
      </c>
      <c r="N28" s="106" t="s">
        <v>43</v>
      </c>
      <c r="O28" s="106" t="s">
        <v>541</v>
      </c>
      <c r="P28" s="106" t="s">
        <v>866</v>
      </c>
      <c r="Q28" s="106" t="s">
        <v>818</v>
      </c>
      <c r="R28" s="106" t="s">
        <v>71</v>
      </c>
      <c r="S28" s="83" t="str">
        <f t="shared" si="3"/>
        <v>40742A-CBJ</v>
      </c>
      <c r="T28" s="83" t="str">
        <f t="shared" si="4"/>
        <v>Columbus Blue Jackets Blue Line NHL</v>
      </c>
      <c r="Y28" s="60">
        <f t="shared" si="5"/>
        <v>6</v>
      </c>
      <c r="Z28" s="49">
        <f t="shared" si="0"/>
        <v>26</v>
      </c>
      <c r="AA28" s="60">
        <f t="shared" si="6"/>
        <v>6026</v>
      </c>
    </row>
    <row r="29" spans="1:27">
      <c r="A29" s="83" t="str">
        <f t="shared" si="1"/>
        <v>40742A-DRWred</v>
      </c>
      <c r="B29" s="83" t="str">
        <f t="shared" si="2"/>
        <v>06-027-18</v>
      </c>
      <c r="C29" s="106" t="s">
        <v>963</v>
      </c>
      <c r="D29" s="106" t="s">
        <v>964</v>
      </c>
      <c r="E29" s="106" t="s">
        <v>788</v>
      </c>
      <c r="F29" s="107">
        <v>0</v>
      </c>
      <c r="G29" s="106" t="s">
        <v>965</v>
      </c>
      <c r="H29" s="106" t="s">
        <v>78</v>
      </c>
      <c r="I29" s="106" t="s">
        <v>786</v>
      </c>
      <c r="J29" s="106" t="s">
        <v>327</v>
      </c>
      <c r="K29" s="106" t="s">
        <v>382</v>
      </c>
      <c r="L29" s="106" t="s">
        <v>893</v>
      </c>
      <c r="M29" s="106" t="s">
        <v>388</v>
      </c>
      <c r="N29" s="106" t="s">
        <v>43</v>
      </c>
      <c r="O29" s="106" t="s">
        <v>541</v>
      </c>
      <c r="P29" s="106" t="s">
        <v>866</v>
      </c>
      <c r="Q29" s="106" t="s">
        <v>822</v>
      </c>
      <c r="R29" s="106" t="s">
        <v>78</v>
      </c>
      <c r="S29" s="83" t="str">
        <f t="shared" si="3"/>
        <v>40742A-DRW</v>
      </c>
      <c r="T29" s="83" t="str">
        <f t="shared" si="4"/>
        <v>Detroit Red Wings Blue Line NHL</v>
      </c>
      <c r="Y29" s="60">
        <f t="shared" si="5"/>
        <v>6</v>
      </c>
      <c r="Z29" s="49">
        <f t="shared" si="0"/>
        <v>27</v>
      </c>
      <c r="AA29" s="60">
        <f t="shared" si="6"/>
        <v>6027</v>
      </c>
    </row>
    <row r="30" spans="1:27">
      <c r="A30" s="83" t="str">
        <f t="shared" si="1"/>
        <v>40742A-MNNkelg</v>
      </c>
      <c r="B30" s="83" t="str">
        <f t="shared" si="2"/>
        <v>06-028-11</v>
      </c>
      <c r="C30" s="106" t="s">
        <v>966</v>
      </c>
      <c r="D30" s="106" t="s">
        <v>967</v>
      </c>
      <c r="E30" s="106" t="s">
        <v>788</v>
      </c>
      <c r="F30" s="107">
        <v>0</v>
      </c>
      <c r="G30" s="106" t="s">
        <v>968</v>
      </c>
      <c r="H30" s="106" t="s">
        <v>60</v>
      </c>
      <c r="I30" s="106" t="s">
        <v>786</v>
      </c>
      <c r="J30" s="106" t="s">
        <v>327</v>
      </c>
      <c r="K30" s="106" t="s">
        <v>382</v>
      </c>
      <c r="L30" s="106" t="s">
        <v>884</v>
      </c>
      <c r="M30" s="106" t="s">
        <v>388</v>
      </c>
      <c r="N30" s="106" t="s">
        <v>43</v>
      </c>
      <c r="O30" s="106" t="s">
        <v>541</v>
      </c>
      <c r="P30" s="106" t="s">
        <v>866</v>
      </c>
      <c r="Q30" s="106" t="s">
        <v>969</v>
      </c>
      <c r="R30" s="106" t="s">
        <v>60</v>
      </c>
      <c r="S30" s="83" t="str">
        <f t="shared" si="3"/>
        <v>40742A-MNN</v>
      </c>
      <c r="T30" s="83" t="str">
        <f t="shared" si="4"/>
        <v>Minnesota North Stars Blue Line NHL</v>
      </c>
      <c r="Y30" s="60">
        <f t="shared" si="5"/>
        <v>6</v>
      </c>
      <c r="Z30" s="49">
        <f t="shared" si="0"/>
        <v>28</v>
      </c>
      <c r="AA30" s="60">
        <f t="shared" si="6"/>
        <v>6028</v>
      </c>
    </row>
    <row r="31" spans="1:27">
      <c r="A31" s="83" t="str">
        <f t="shared" si="1"/>
        <v>40742A-MOCnavy</v>
      </c>
      <c r="B31" s="83" t="str">
        <f t="shared" si="2"/>
        <v>06-029-16</v>
      </c>
      <c r="C31" s="106" t="s">
        <v>970</v>
      </c>
      <c r="D31" s="106" t="s">
        <v>971</v>
      </c>
      <c r="E31" s="106" t="s">
        <v>788</v>
      </c>
      <c r="F31" s="107">
        <v>0</v>
      </c>
      <c r="G31" s="106" t="s">
        <v>972</v>
      </c>
      <c r="H31" s="106" t="s">
        <v>55</v>
      </c>
      <c r="I31" s="106" t="s">
        <v>786</v>
      </c>
      <c r="J31" s="106" t="s">
        <v>327</v>
      </c>
      <c r="K31" s="106" t="s">
        <v>382</v>
      </c>
      <c r="L31" s="106" t="s">
        <v>884</v>
      </c>
      <c r="M31" s="106" t="s">
        <v>388</v>
      </c>
      <c r="N31" s="106" t="s">
        <v>43</v>
      </c>
      <c r="O31" s="106" t="s">
        <v>541</v>
      </c>
      <c r="P31" s="106" t="s">
        <v>866</v>
      </c>
      <c r="Q31" s="106" t="s">
        <v>818</v>
      </c>
      <c r="R31" s="106" t="s">
        <v>71</v>
      </c>
      <c r="S31" s="83" t="str">
        <f t="shared" si="3"/>
        <v>40742A-MOC</v>
      </c>
      <c r="T31" s="83" t="str">
        <f t="shared" si="4"/>
        <v>Montreal Canadiens Blue Line NHL</v>
      </c>
      <c r="Y31" s="60">
        <f t="shared" si="5"/>
        <v>6</v>
      </c>
      <c r="Z31" s="49">
        <f t="shared" si="0"/>
        <v>29</v>
      </c>
      <c r="AA31" s="60">
        <f t="shared" si="6"/>
        <v>6029</v>
      </c>
    </row>
    <row r="32" spans="1:27">
      <c r="A32" s="83" t="str">
        <f t="shared" si="1"/>
        <v>40742A-NAPnavy</v>
      </c>
      <c r="B32" s="83" t="str">
        <f t="shared" si="2"/>
        <v>06-030-16</v>
      </c>
      <c r="C32" s="106" t="s">
        <v>973</v>
      </c>
      <c r="D32" s="106" t="s">
        <v>974</v>
      </c>
      <c r="E32" s="106" t="s">
        <v>788</v>
      </c>
      <c r="F32" s="107">
        <v>0</v>
      </c>
      <c r="G32" s="106" t="s">
        <v>975</v>
      </c>
      <c r="H32" s="106" t="s">
        <v>55</v>
      </c>
      <c r="I32" s="106" t="s">
        <v>786</v>
      </c>
      <c r="J32" s="106" t="s">
        <v>327</v>
      </c>
      <c r="K32" s="106" t="s">
        <v>382</v>
      </c>
      <c r="L32" s="106" t="s">
        <v>884</v>
      </c>
      <c r="M32" s="106" t="s">
        <v>388</v>
      </c>
      <c r="N32" s="106" t="s">
        <v>43</v>
      </c>
      <c r="O32" s="106" t="s">
        <v>541</v>
      </c>
      <c r="P32" s="106" t="s">
        <v>866</v>
      </c>
      <c r="Q32" s="106" t="s">
        <v>818</v>
      </c>
      <c r="R32" s="106" t="s">
        <v>71</v>
      </c>
      <c r="S32" s="83" t="str">
        <f t="shared" si="3"/>
        <v>40742A-NAP</v>
      </c>
      <c r="T32" s="83" t="str">
        <f t="shared" si="4"/>
        <v>Nashville Predators Blue Line NHL</v>
      </c>
      <c r="Y32" s="60">
        <f t="shared" si="5"/>
        <v>6</v>
      </c>
      <c r="Z32" s="49">
        <f t="shared" si="0"/>
        <v>30</v>
      </c>
      <c r="AA32" s="60">
        <f t="shared" si="6"/>
        <v>6030</v>
      </c>
    </row>
    <row r="33" spans="1:27">
      <c r="A33" s="83" t="str">
        <f t="shared" si="1"/>
        <v>40742A-OTSred</v>
      </c>
      <c r="B33" s="83" t="str">
        <f t="shared" si="2"/>
        <v>06-031-18</v>
      </c>
      <c r="C33" s="106" t="s">
        <v>976</v>
      </c>
      <c r="D33" s="106" t="s">
        <v>977</v>
      </c>
      <c r="E33" s="106" t="s">
        <v>788</v>
      </c>
      <c r="F33" s="107">
        <v>0</v>
      </c>
      <c r="G33" s="106" t="s">
        <v>978</v>
      </c>
      <c r="H33" s="106" t="s">
        <v>78</v>
      </c>
      <c r="I33" s="106" t="s">
        <v>786</v>
      </c>
      <c r="J33" s="106" t="s">
        <v>327</v>
      </c>
      <c r="K33" s="106" t="s">
        <v>382</v>
      </c>
      <c r="L33" s="106" t="s">
        <v>893</v>
      </c>
      <c r="M33" s="106" t="s">
        <v>388</v>
      </c>
      <c r="N33" s="106" t="s">
        <v>43</v>
      </c>
      <c r="O33" s="106" t="s">
        <v>541</v>
      </c>
      <c r="P33" s="106" t="s">
        <v>866</v>
      </c>
      <c r="Q33" s="106" t="s">
        <v>822</v>
      </c>
      <c r="R33" s="106" t="s">
        <v>78</v>
      </c>
      <c r="S33" s="83" t="str">
        <f t="shared" si="3"/>
        <v>40742A-OTS</v>
      </c>
      <c r="T33" s="83" t="str">
        <f t="shared" si="4"/>
        <v>Ottawa Senators Blue Line NHL</v>
      </c>
      <c r="Y33" s="60">
        <f t="shared" si="5"/>
        <v>6</v>
      </c>
      <c r="Z33" s="49">
        <f t="shared" si="0"/>
        <v>31</v>
      </c>
      <c r="AA33" s="60">
        <f t="shared" si="6"/>
        <v>6031</v>
      </c>
    </row>
    <row r="34" spans="1:27">
      <c r="A34" s="83" t="str">
        <f t="shared" si="1"/>
        <v>40742A-PCOcard</v>
      </c>
      <c r="B34" s="83" t="str">
        <f t="shared" si="2"/>
        <v>06-032-13</v>
      </c>
      <c r="C34" s="106" t="s">
        <v>979</v>
      </c>
      <c r="D34" s="106" t="s">
        <v>980</v>
      </c>
      <c r="E34" s="106" t="s">
        <v>788</v>
      </c>
      <c r="F34" s="107">
        <v>0</v>
      </c>
      <c r="G34" s="106" t="s">
        <v>981</v>
      </c>
      <c r="H34" s="106" t="s">
        <v>217</v>
      </c>
      <c r="I34" s="106" t="s">
        <v>786</v>
      </c>
      <c r="J34" s="106" t="s">
        <v>327</v>
      </c>
      <c r="K34" s="106" t="s">
        <v>382</v>
      </c>
      <c r="L34" s="106" t="s">
        <v>884</v>
      </c>
      <c r="M34" s="106" t="s">
        <v>388</v>
      </c>
      <c r="N34" s="106" t="s">
        <v>43</v>
      </c>
      <c r="O34" s="106" t="s">
        <v>541</v>
      </c>
      <c r="P34" s="106" t="s">
        <v>866</v>
      </c>
      <c r="Q34" s="106" t="s">
        <v>982</v>
      </c>
      <c r="R34" s="106" t="s">
        <v>199</v>
      </c>
      <c r="S34" s="83" t="str">
        <f t="shared" si="3"/>
        <v>40742A-PCO</v>
      </c>
      <c r="T34" s="83" t="str">
        <f t="shared" si="4"/>
        <v>Arizona Coyotes Blue Line NHL</v>
      </c>
      <c r="Y34" s="60">
        <f t="shared" si="5"/>
        <v>6</v>
      </c>
      <c r="Z34" s="49">
        <f t="shared" si="0"/>
        <v>32</v>
      </c>
      <c r="AA34" s="60">
        <f t="shared" si="6"/>
        <v>6032</v>
      </c>
    </row>
    <row r="35" spans="1:27">
      <c r="A35" s="83" t="str">
        <f t="shared" si="1"/>
        <v>40742A-SEKblk</v>
      </c>
      <c r="B35" s="83" t="str">
        <f t="shared" si="2"/>
        <v>06-033-09</v>
      </c>
      <c r="C35" s="106" t="s">
        <v>983</v>
      </c>
      <c r="D35" s="106" t="s">
        <v>984</v>
      </c>
      <c r="E35" s="106" t="s">
        <v>788</v>
      </c>
      <c r="F35" s="107">
        <v>0</v>
      </c>
      <c r="G35" s="106" t="s">
        <v>985</v>
      </c>
      <c r="H35" s="106" t="s">
        <v>53</v>
      </c>
      <c r="I35" s="106" t="s">
        <v>786</v>
      </c>
      <c r="J35" s="106" t="s">
        <v>327</v>
      </c>
      <c r="K35" s="106" t="s">
        <v>382</v>
      </c>
      <c r="L35" s="106" t="s">
        <v>884</v>
      </c>
      <c r="M35" s="106" t="s">
        <v>388</v>
      </c>
      <c r="N35" s="106" t="s">
        <v>43</v>
      </c>
      <c r="O35" s="106" t="s">
        <v>541</v>
      </c>
      <c r="P35" s="106" t="s">
        <v>866</v>
      </c>
      <c r="Q35" s="106" t="s">
        <v>843</v>
      </c>
      <c r="R35" s="106" t="s">
        <v>53</v>
      </c>
      <c r="S35" s="83" t="str">
        <f t="shared" si="3"/>
        <v>40742A-SEK</v>
      </c>
      <c r="T35" s="83" t="str">
        <f t="shared" si="4"/>
        <v>Seattle Kraken Blue Line NHL</v>
      </c>
      <c r="Y35" s="60">
        <f t="shared" si="5"/>
        <v>6</v>
      </c>
      <c r="Z35" s="49">
        <f t="shared" si="0"/>
        <v>33</v>
      </c>
      <c r="AA35" s="60">
        <f t="shared" si="6"/>
        <v>6033</v>
      </c>
    </row>
    <row r="36" spans="1:27">
      <c r="A36" s="83" t="str">
        <f t="shared" si="1"/>
        <v>40742A-SEKnavy</v>
      </c>
      <c r="B36" s="83" t="str">
        <f t="shared" si="2"/>
        <v>06-033-16</v>
      </c>
      <c r="C36" s="106" t="s">
        <v>986</v>
      </c>
      <c r="D36" s="106" t="s">
        <v>987</v>
      </c>
      <c r="E36" s="106" t="s">
        <v>788</v>
      </c>
      <c r="F36" s="107">
        <v>0</v>
      </c>
      <c r="G36" s="106" t="s">
        <v>985</v>
      </c>
      <c r="H36" s="106" t="s">
        <v>55</v>
      </c>
      <c r="I36" s="106" t="s">
        <v>786</v>
      </c>
      <c r="J36" s="106" t="s">
        <v>327</v>
      </c>
      <c r="K36" s="106" t="s">
        <v>382</v>
      </c>
      <c r="L36" s="106" t="s">
        <v>884</v>
      </c>
      <c r="M36" s="106" t="s">
        <v>388</v>
      </c>
      <c r="N36" s="106" t="s">
        <v>43</v>
      </c>
      <c r="O36" s="106" t="s">
        <v>541</v>
      </c>
      <c r="P36" s="106" t="s">
        <v>866</v>
      </c>
      <c r="Q36" s="106" t="s">
        <v>818</v>
      </c>
      <c r="R36" s="106" t="s">
        <v>71</v>
      </c>
      <c r="S36" s="83" t="str">
        <f t="shared" si="3"/>
        <v>40742A-SEK</v>
      </c>
      <c r="T36" s="83" t="str">
        <f t="shared" si="4"/>
        <v>Seattle Kraken Blue Line NHL</v>
      </c>
      <c r="Y36" s="60">
        <f t="shared" si="5"/>
        <v>6</v>
      </c>
      <c r="Z36" s="49">
        <f t="shared" si="0"/>
        <v>33</v>
      </c>
      <c r="AA36" s="60">
        <f t="shared" si="6"/>
        <v>6033</v>
      </c>
    </row>
    <row r="37" spans="1:27">
      <c r="A37" s="83" t="str">
        <f t="shared" si="1"/>
        <v>40742A-SEKsnow</v>
      </c>
      <c r="B37" s="83" t="str">
        <f t="shared" si="2"/>
        <v>06-033-17</v>
      </c>
      <c r="C37" s="106" t="s">
        <v>988</v>
      </c>
      <c r="D37" s="106" t="s">
        <v>989</v>
      </c>
      <c r="E37" s="106" t="s">
        <v>788</v>
      </c>
      <c r="F37" s="107">
        <v>0</v>
      </c>
      <c r="G37" s="106" t="s">
        <v>985</v>
      </c>
      <c r="H37" s="106" t="s">
        <v>57</v>
      </c>
      <c r="I37" s="106" t="s">
        <v>786</v>
      </c>
      <c r="J37" s="106" t="s">
        <v>327</v>
      </c>
      <c r="K37" s="106" t="s">
        <v>382</v>
      </c>
      <c r="L37" s="106" t="s">
        <v>893</v>
      </c>
      <c r="M37" s="106" t="s">
        <v>388</v>
      </c>
      <c r="N37" s="106" t="s">
        <v>43</v>
      </c>
      <c r="O37" s="106" t="s">
        <v>541</v>
      </c>
      <c r="P37" s="106" t="s">
        <v>866</v>
      </c>
      <c r="Q37" s="106" t="s">
        <v>990</v>
      </c>
      <c r="R37" s="106" t="s">
        <v>57</v>
      </c>
      <c r="S37" s="83" t="str">
        <f t="shared" si="3"/>
        <v>40742A-SEK</v>
      </c>
      <c r="T37" s="83" t="str">
        <f t="shared" si="4"/>
        <v>Seattle Kraken Blue Line NHL</v>
      </c>
      <c r="Y37" s="60">
        <f t="shared" si="5"/>
        <v>6</v>
      </c>
      <c r="Z37" s="49">
        <f t="shared" si="0"/>
        <v>33</v>
      </c>
      <c r="AA37" s="60">
        <f t="shared" si="6"/>
        <v>6033</v>
      </c>
    </row>
    <row r="38" spans="1:27">
      <c r="A38" s="83" t="str">
        <f t="shared" si="1"/>
        <v>40742A-SJSblk</v>
      </c>
      <c r="B38" s="83" t="str">
        <f t="shared" si="2"/>
        <v>06-034-09</v>
      </c>
      <c r="C38" s="106" t="s">
        <v>991</v>
      </c>
      <c r="D38" s="106" t="s">
        <v>992</v>
      </c>
      <c r="E38" s="106" t="s">
        <v>788</v>
      </c>
      <c r="F38" s="107">
        <v>0</v>
      </c>
      <c r="G38" s="106" t="s">
        <v>993</v>
      </c>
      <c r="H38" s="106" t="s">
        <v>53</v>
      </c>
      <c r="I38" s="106" t="s">
        <v>786</v>
      </c>
      <c r="J38" s="106" t="s">
        <v>327</v>
      </c>
      <c r="K38" s="106" t="s">
        <v>382</v>
      </c>
      <c r="L38" s="106" t="s">
        <v>884</v>
      </c>
      <c r="M38" s="106" t="s">
        <v>388</v>
      </c>
      <c r="N38" s="106" t="s">
        <v>43</v>
      </c>
      <c r="O38" s="106" t="s">
        <v>541</v>
      </c>
      <c r="P38" s="106" t="s">
        <v>866</v>
      </c>
      <c r="Q38" s="106" t="s">
        <v>843</v>
      </c>
      <c r="R38" s="106" t="s">
        <v>53</v>
      </c>
      <c r="S38" s="83" t="str">
        <f t="shared" si="3"/>
        <v>40742A-SJS</v>
      </c>
      <c r="T38" s="83" t="str">
        <f t="shared" si="4"/>
        <v>San Jose Sharks Blue Line NHL</v>
      </c>
      <c r="Y38" s="60">
        <f t="shared" si="5"/>
        <v>6</v>
      </c>
      <c r="Z38" s="49">
        <f t="shared" si="0"/>
        <v>34</v>
      </c>
      <c r="AA38" s="60">
        <f t="shared" si="6"/>
        <v>6034</v>
      </c>
    </row>
    <row r="39" spans="1:27">
      <c r="A39" s="83" t="str">
        <f t="shared" si="1"/>
        <v>40742A-VACroy</v>
      </c>
      <c r="B39" s="83" t="str">
        <f t="shared" si="2"/>
        <v>06-035-06</v>
      </c>
      <c r="C39" s="106" t="s">
        <v>994</v>
      </c>
      <c r="D39" s="106" t="s">
        <v>995</v>
      </c>
      <c r="E39" s="106" t="s">
        <v>788</v>
      </c>
      <c r="F39" s="107">
        <v>0</v>
      </c>
      <c r="G39" s="106" t="s">
        <v>996</v>
      </c>
      <c r="H39" s="106" t="s">
        <v>71</v>
      </c>
      <c r="I39" s="106" t="s">
        <v>786</v>
      </c>
      <c r="J39" s="106" t="s">
        <v>327</v>
      </c>
      <c r="K39" s="106" t="s">
        <v>382</v>
      </c>
      <c r="L39" s="106" t="s">
        <v>884</v>
      </c>
      <c r="M39" s="106" t="s">
        <v>388</v>
      </c>
      <c r="N39" s="106" t="s">
        <v>43</v>
      </c>
      <c r="O39" s="106" t="s">
        <v>541</v>
      </c>
      <c r="P39" s="106" t="s">
        <v>866</v>
      </c>
      <c r="Q39" s="106" t="s">
        <v>917</v>
      </c>
      <c r="R39" s="106" t="s">
        <v>71</v>
      </c>
      <c r="S39" s="83" t="str">
        <f t="shared" si="3"/>
        <v>40742A-VAC</v>
      </c>
      <c r="T39" s="83" t="str">
        <f t="shared" si="4"/>
        <v>Vancouver Canucks Blue Line NHL</v>
      </c>
      <c r="Y39" s="60">
        <f t="shared" si="5"/>
        <v>6</v>
      </c>
      <c r="Z39" s="49">
        <f t="shared" si="0"/>
        <v>35</v>
      </c>
      <c r="AA39" s="60">
        <f t="shared" si="6"/>
        <v>6035</v>
      </c>
    </row>
    <row r="40" spans="1:27">
      <c r="A40" s="83" t="str">
        <f t="shared" si="1"/>
        <v>40742A-VGKblk</v>
      </c>
      <c r="B40" s="83" t="str">
        <f t="shared" si="2"/>
        <v>06-036-09</v>
      </c>
      <c r="C40" s="106" t="s">
        <v>997</v>
      </c>
      <c r="D40" s="106" t="s">
        <v>998</v>
      </c>
      <c r="E40" s="106" t="s">
        <v>788</v>
      </c>
      <c r="F40" s="107">
        <v>0</v>
      </c>
      <c r="G40" s="106" t="s">
        <v>999</v>
      </c>
      <c r="H40" s="106" t="s">
        <v>53</v>
      </c>
      <c r="I40" s="106" t="s">
        <v>786</v>
      </c>
      <c r="J40" s="106" t="s">
        <v>327</v>
      </c>
      <c r="K40" s="106" t="s">
        <v>382</v>
      </c>
      <c r="L40" s="106" t="s">
        <v>884</v>
      </c>
      <c r="M40" s="106" t="s">
        <v>388</v>
      </c>
      <c r="N40" s="106" t="s">
        <v>43</v>
      </c>
      <c r="O40" s="106" t="s">
        <v>541</v>
      </c>
      <c r="P40" s="106" t="s">
        <v>866</v>
      </c>
      <c r="Q40" s="106" t="s">
        <v>843</v>
      </c>
      <c r="R40" s="106" t="s">
        <v>53</v>
      </c>
      <c r="S40" s="83" t="str">
        <f t="shared" si="3"/>
        <v>40742A-VGK</v>
      </c>
      <c r="T40" s="83" t="str">
        <f t="shared" si="4"/>
        <v>Vegas Golden Knights Blue Line NHL</v>
      </c>
      <c r="Y40" s="60">
        <f t="shared" si="5"/>
        <v>6</v>
      </c>
      <c r="Z40" s="49">
        <f t="shared" si="0"/>
        <v>36</v>
      </c>
      <c r="AA40" s="60">
        <f t="shared" si="6"/>
        <v>6036</v>
      </c>
    </row>
    <row r="41" spans="1:27">
      <c r="A41" s="83" t="str">
        <f t="shared" si="1"/>
        <v>40742A-WACred</v>
      </c>
      <c r="B41" s="83" t="str">
        <f t="shared" si="2"/>
        <v>06-037-18</v>
      </c>
      <c r="C41" s="106" t="s">
        <v>1000</v>
      </c>
      <c r="D41" s="106" t="s">
        <v>1001</v>
      </c>
      <c r="E41" s="106" t="s">
        <v>788</v>
      </c>
      <c r="F41" s="107">
        <v>0</v>
      </c>
      <c r="G41" s="106" t="s">
        <v>1002</v>
      </c>
      <c r="H41" s="106" t="s">
        <v>78</v>
      </c>
      <c r="I41" s="106" t="s">
        <v>786</v>
      </c>
      <c r="J41" s="106" t="s">
        <v>327</v>
      </c>
      <c r="K41" s="106" t="s">
        <v>382</v>
      </c>
      <c r="L41" s="106" t="s">
        <v>884</v>
      </c>
      <c r="M41" s="106" t="s">
        <v>388</v>
      </c>
      <c r="N41" s="106" t="s">
        <v>43</v>
      </c>
      <c r="O41" s="106" t="s">
        <v>541</v>
      </c>
      <c r="P41" s="106" t="s">
        <v>866</v>
      </c>
      <c r="Q41" s="106" t="s">
        <v>822</v>
      </c>
      <c r="R41" s="106" t="s">
        <v>78</v>
      </c>
      <c r="S41" s="83" t="str">
        <f t="shared" si="3"/>
        <v>40742A-WAC</v>
      </c>
      <c r="T41" s="83" t="str">
        <f t="shared" si="4"/>
        <v>Washington Capitals Blue Line NHL</v>
      </c>
      <c r="Y41" s="60">
        <f t="shared" si="5"/>
        <v>6</v>
      </c>
      <c r="Z41" s="49">
        <f t="shared" si="0"/>
        <v>37</v>
      </c>
      <c r="AA41" s="60">
        <f t="shared" si="6"/>
        <v>6037</v>
      </c>
    </row>
    <row r="42" spans="1:27">
      <c r="A42" s="83" t="str">
        <f t="shared" si="1"/>
        <v>40742A-WPJnavy</v>
      </c>
      <c r="B42" s="83" t="str">
        <f t="shared" si="2"/>
        <v>06-038-16</v>
      </c>
      <c r="C42" s="106" t="s">
        <v>1003</v>
      </c>
      <c r="D42" s="106" t="s">
        <v>1004</v>
      </c>
      <c r="E42" s="106" t="s">
        <v>788</v>
      </c>
      <c r="F42" s="107">
        <v>0</v>
      </c>
      <c r="G42" s="106" t="s">
        <v>1005</v>
      </c>
      <c r="H42" s="106" t="s">
        <v>55</v>
      </c>
      <c r="I42" s="106" t="s">
        <v>786</v>
      </c>
      <c r="J42" s="106" t="s">
        <v>327</v>
      </c>
      <c r="K42" s="106" t="s">
        <v>382</v>
      </c>
      <c r="L42" s="106" t="s">
        <v>884</v>
      </c>
      <c r="M42" s="106" t="s">
        <v>388</v>
      </c>
      <c r="N42" s="106" t="s">
        <v>43</v>
      </c>
      <c r="O42" s="106" t="s">
        <v>541</v>
      </c>
      <c r="P42" s="106" t="s">
        <v>866</v>
      </c>
      <c r="Q42" s="106" t="s">
        <v>818</v>
      </c>
      <c r="R42" s="106" t="s">
        <v>71</v>
      </c>
      <c r="S42" s="83" t="str">
        <f t="shared" si="3"/>
        <v>40742A-WPJ</v>
      </c>
      <c r="T42" s="83" t="str">
        <f t="shared" si="4"/>
        <v>Winnipeg Jets Blue Line NHL</v>
      </c>
      <c r="Y42" s="60">
        <f t="shared" si="5"/>
        <v>6</v>
      </c>
      <c r="Z42" s="49">
        <f t="shared" si="0"/>
        <v>38</v>
      </c>
      <c r="AA42" s="60">
        <f t="shared" si="6"/>
        <v>6038</v>
      </c>
    </row>
    <row r="43" spans="1:27">
      <c r="A43" s="83" t="str">
        <f t="shared" si="1"/>
        <v>40742B-CAHblk</v>
      </c>
      <c r="B43" s="83" t="str">
        <f t="shared" si="2"/>
        <v>06-039-09</v>
      </c>
      <c r="C43" s="106" t="s">
        <v>1006</v>
      </c>
      <c r="D43" s="106" t="s">
        <v>1007</v>
      </c>
      <c r="E43" s="106" t="s">
        <v>788</v>
      </c>
      <c r="F43" s="107">
        <v>0</v>
      </c>
      <c r="G43" s="106" t="s">
        <v>1008</v>
      </c>
      <c r="H43" s="106" t="s">
        <v>53</v>
      </c>
      <c r="I43" s="106" t="s">
        <v>786</v>
      </c>
      <c r="J43" s="106" t="s">
        <v>327</v>
      </c>
      <c r="K43" s="106" t="s">
        <v>382</v>
      </c>
      <c r="L43" s="106" t="s">
        <v>884</v>
      </c>
      <c r="M43" s="106" t="s">
        <v>388</v>
      </c>
      <c r="N43" s="106" t="s">
        <v>43</v>
      </c>
      <c r="O43" s="106" t="s">
        <v>541</v>
      </c>
      <c r="P43" s="106" t="s">
        <v>866</v>
      </c>
      <c r="Q43" s="106" t="s">
        <v>843</v>
      </c>
      <c r="R43" s="106" t="s">
        <v>53</v>
      </c>
      <c r="S43" s="83" t="str">
        <f t="shared" si="3"/>
        <v>40742B-CAH</v>
      </c>
      <c r="T43" s="83" t="str">
        <f t="shared" si="4"/>
        <v>Carolina Hurricanes Blue Line NHL</v>
      </c>
      <c r="Y43" s="60">
        <f t="shared" si="5"/>
        <v>6</v>
      </c>
      <c r="Z43" s="49">
        <f t="shared" si="0"/>
        <v>39</v>
      </c>
      <c r="AA43" s="60">
        <f t="shared" si="6"/>
        <v>6039</v>
      </c>
    </row>
    <row r="44" spans="1:27">
      <c r="A44" s="83" t="str">
        <f t="shared" si="1"/>
        <v>40742B-FLPnavy</v>
      </c>
      <c r="B44" s="83" t="str">
        <f t="shared" si="2"/>
        <v>06-040-16</v>
      </c>
      <c r="C44" s="106" t="s">
        <v>1009</v>
      </c>
      <c r="D44" s="106" t="s">
        <v>1010</v>
      </c>
      <c r="E44" s="106" t="s">
        <v>788</v>
      </c>
      <c r="F44" s="107">
        <v>0</v>
      </c>
      <c r="G44" s="106" t="s">
        <v>1011</v>
      </c>
      <c r="H44" s="106" t="s">
        <v>55</v>
      </c>
      <c r="I44" s="106" t="s">
        <v>786</v>
      </c>
      <c r="J44" s="106" t="s">
        <v>327</v>
      </c>
      <c r="K44" s="106" t="s">
        <v>382</v>
      </c>
      <c r="L44" s="106" t="s">
        <v>884</v>
      </c>
      <c r="M44" s="106" t="s">
        <v>388</v>
      </c>
      <c r="N44" s="106" t="s">
        <v>43</v>
      </c>
      <c r="O44" s="106" t="s">
        <v>541</v>
      </c>
      <c r="P44" s="106" t="s">
        <v>866</v>
      </c>
      <c r="Q44" s="106" t="s">
        <v>818</v>
      </c>
      <c r="R44" s="106" t="s">
        <v>71</v>
      </c>
      <c r="S44" s="83" t="str">
        <f t="shared" si="3"/>
        <v>40742B-FLP</v>
      </c>
      <c r="T44" s="83" t="str">
        <f t="shared" si="4"/>
        <v>Carolina Panthers Blue Line NHL</v>
      </c>
      <c r="Y44" s="60">
        <f t="shared" si="5"/>
        <v>6</v>
      </c>
      <c r="Z44" s="49">
        <f t="shared" si="0"/>
        <v>40</v>
      </c>
      <c r="AA44" s="60">
        <f t="shared" si="6"/>
        <v>6040</v>
      </c>
    </row>
    <row r="45" spans="1:27">
      <c r="A45" s="83" t="str">
        <f t="shared" si="1"/>
        <v>40742B-PHFblk</v>
      </c>
      <c r="B45" s="83" t="str">
        <f t="shared" si="2"/>
        <v>06-041-09</v>
      </c>
      <c r="C45" s="106" t="s">
        <v>1012</v>
      </c>
      <c r="D45" s="106" t="s">
        <v>1013</v>
      </c>
      <c r="E45" s="106" t="s">
        <v>788</v>
      </c>
      <c r="F45" s="107">
        <v>0</v>
      </c>
      <c r="G45" s="106" t="s">
        <v>1014</v>
      </c>
      <c r="H45" s="106" t="s">
        <v>53</v>
      </c>
      <c r="I45" s="106" t="s">
        <v>786</v>
      </c>
      <c r="J45" s="106" t="s">
        <v>327</v>
      </c>
      <c r="K45" s="106" t="s">
        <v>382</v>
      </c>
      <c r="L45" s="106" t="s">
        <v>893</v>
      </c>
      <c r="M45" s="106" t="s">
        <v>388</v>
      </c>
      <c r="N45" s="106" t="s">
        <v>43</v>
      </c>
      <c r="O45" s="106" t="s">
        <v>541</v>
      </c>
      <c r="P45" s="106" t="s">
        <v>866</v>
      </c>
      <c r="Q45" s="106" t="s">
        <v>843</v>
      </c>
      <c r="R45" s="106" t="s">
        <v>53</v>
      </c>
      <c r="S45" s="83" t="str">
        <f t="shared" si="3"/>
        <v>40742B-PHF</v>
      </c>
      <c r="T45" s="83" t="str">
        <f t="shared" si="4"/>
        <v>Philadelphia Flyers Blue Line NHL</v>
      </c>
      <c r="Y45" s="60">
        <f t="shared" si="5"/>
        <v>6</v>
      </c>
      <c r="Z45" s="49">
        <f t="shared" si="0"/>
        <v>41</v>
      </c>
      <c r="AA45" s="60">
        <f t="shared" si="6"/>
        <v>6041</v>
      </c>
    </row>
    <row r="46" spans="1:27">
      <c r="A46" s="83" t="str">
        <f t="shared" si="1"/>
        <v>40742B-PPNblk</v>
      </c>
      <c r="B46" s="83" t="str">
        <f t="shared" si="2"/>
        <v>06-042-09</v>
      </c>
      <c r="C46" s="106" t="s">
        <v>1015</v>
      </c>
      <c r="D46" s="106" t="s">
        <v>1016</v>
      </c>
      <c r="E46" s="106" t="s">
        <v>788</v>
      </c>
      <c r="F46" s="107">
        <v>0</v>
      </c>
      <c r="G46" s="106" t="s">
        <v>1017</v>
      </c>
      <c r="H46" s="106" t="s">
        <v>53</v>
      </c>
      <c r="I46" s="106" t="s">
        <v>786</v>
      </c>
      <c r="J46" s="106" t="s">
        <v>327</v>
      </c>
      <c r="K46" s="106" t="s">
        <v>382</v>
      </c>
      <c r="L46" s="106" t="s">
        <v>893</v>
      </c>
      <c r="M46" s="106" t="s">
        <v>388</v>
      </c>
      <c r="N46" s="106" t="s">
        <v>43</v>
      </c>
      <c r="O46" s="106" t="s">
        <v>541</v>
      </c>
      <c r="P46" s="106" t="s">
        <v>866</v>
      </c>
      <c r="Q46" s="106" t="s">
        <v>843</v>
      </c>
      <c r="R46" s="106" t="s">
        <v>53</v>
      </c>
      <c r="S46" s="83" t="str">
        <f t="shared" si="3"/>
        <v>40742B-PPN</v>
      </c>
      <c r="T46" s="83" t="str">
        <f t="shared" si="4"/>
        <v>Pittsburgh Penguins Blue Line NHL</v>
      </c>
      <c r="Y46" s="60">
        <f t="shared" si="5"/>
        <v>6</v>
      </c>
      <c r="Z46" s="49">
        <f t="shared" si="0"/>
        <v>42</v>
      </c>
      <c r="AA46" s="60">
        <f t="shared" si="6"/>
        <v>6042</v>
      </c>
    </row>
    <row r="47" spans="1:27">
      <c r="A47" s="83" t="str">
        <f t="shared" si="1"/>
        <v>40742B-SEKnavy</v>
      </c>
      <c r="B47" s="83" t="str">
        <f t="shared" si="2"/>
        <v>06-043-16</v>
      </c>
      <c r="C47" s="106" t="s">
        <v>1018</v>
      </c>
      <c r="D47" s="106" t="s">
        <v>1019</v>
      </c>
      <c r="E47" s="106" t="s">
        <v>788</v>
      </c>
      <c r="F47" s="107">
        <v>0</v>
      </c>
      <c r="G47" s="106" t="s">
        <v>1020</v>
      </c>
      <c r="H47" s="106" t="s">
        <v>55</v>
      </c>
      <c r="I47" s="106" t="s">
        <v>786</v>
      </c>
      <c r="J47" s="106" t="s">
        <v>327</v>
      </c>
      <c r="K47" s="106" t="s">
        <v>382</v>
      </c>
      <c r="L47" s="106" t="s">
        <v>884</v>
      </c>
      <c r="M47" s="106" t="s">
        <v>388</v>
      </c>
      <c r="N47" s="106" t="s">
        <v>43</v>
      </c>
      <c r="O47" s="106" t="s">
        <v>541</v>
      </c>
      <c r="P47" s="106" t="s">
        <v>866</v>
      </c>
      <c r="Q47" s="106" t="s">
        <v>818</v>
      </c>
      <c r="R47" s="106" t="s">
        <v>71</v>
      </c>
      <c r="S47" s="83" t="str">
        <f t="shared" si="3"/>
        <v>40742B-SEK</v>
      </c>
      <c r="T47" s="83" t="str">
        <f t="shared" si="4"/>
        <v>Seattle Kraken Blue Line NHL</v>
      </c>
      <c r="Y47" s="60">
        <f t="shared" si="5"/>
        <v>6</v>
      </c>
      <c r="Z47" s="49">
        <f t="shared" si="0"/>
        <v>43</v>
      </c>
      <c r="AA47" s="60">
        <f t="shared" si="6"/>
        <v>6043</v>
      </c>
    </row>
    <row r="48" spans="1:27">
      <c r="A48" s="83" t="str">
        <f t="shared" si="1"/>
        <v>40742B-TMLroy</v>
      </c>
      <c r="B48" s="83" t="str">
        <f t="shared" si="2"/>
        <v>06-044-06</v>
      </c>
      <c r="C48" s="106" t="s">
        <v>1021</v>
      </c>
      <c r="D48" s="106" t="s">
        <v>1022</v>
      </c>
      <c r="E48" s="106" t="s">
        <v>788</v>
      </c>
      <c r="F48" s="107">
        <v>0</v>
      </c>
      <c r="G48" s="106" t="s">
        <v>1023</v>
      </c>
      <c r="H48" s="106" t="s">
        <v>71</v>
      </c>
      <c r="I48" s="106" t="s">
        <v>786</v>
      </c>
      <c r="J48" s="106" t="s">
        <v>327</v>
      </c>
      <c r="K48" s="106" t="s">
        <v>382</v>
      </c>
      <c r="L48" s="106" t="s">
        <v>893</v>
      </c>
      <c r="M48" s="106" t="s">
        <v>388</v>
      </c>
      <c r="N48" s="106" t="s">
        <v>43</v>
      </c>
      <c r="O48" s="106" t="s">
        <v>541</v>
      </c>
      <c r="P48" s="106" t="s">
        <v>866</v>
      </c>
      <c r="Q48" s="106" t="s">
        <v>917</v>
      </c>
      <c r="R48" s="106" t="s">
        <v>71</v>
      </c>
      <c r="S48" s="83" t="str">
        <f t="shared" si="3"/>
        <v>40742B-TML</v>
      </c>
      <c r="T48" s="83" t="str">
        <f t="shared" si="4"/>
        <v>Toronto Maple Leafs Blue Line NHL</v>
      </c>
      <c r="Y48" s="60">
        <f t="shared" si="5"/>
        <v>6</v>
      </c>
      <c r="Z48" s="49">
        <f t="shared" si="0"/>
        <v>44</v>
      </c>
      <c r="AA48" s="60">
        <f t="shared" si="6"/>
        <v>6044</v>
      </c>
    </row>
    <row r="49" spans="1:27">
      <c r="A49" s="83" t="str">
        <f t="shared" si="1"/>
        <v>41150A-NASAnavy</v>
      </c>
      <c r="B49" s="83" t="str">
        <f t="shared" si="2"/>
        <v>06-045-16</v>
      </c>
      <c r="C49" s="106" t="s">
        <v>1024</v>
      </c>
      <c r="D49" s="106" t="s">
        <v>1025</v>
      </c>
      <c r="E49" s="106" t="s">
        <v>788</v>
      </c>
      <c r="F49" s="107">
        <v>0</v>
      </c>
      <c r="G49" s="106" t="s">
        <v>1026</v>
      </c>
      <c r="H49" s="106" t="s">
        <v>55</v>
      </c>
      <c r="I49" s="106" t="s">
        <v>1027</v>
      </c>
      <c r="J49" s="106" t="s">
        <v>356</v>
      </c>
      <c r="K49" s="106" t="s">
        <v>382</v>
      </c>
      <c r="L49" s="106" t="s">
        <v>893</v>
      </c>
      <c r="M49" s="106" t="s">
        <v>388</v>
      </c>
      <c r="N49" s="106" t="s">
        <v>43</v>
      </c>
      <c r="O49" s="106" t="s">
        <v>541</v>
      </c>
      <c r="P49" s="106" t="s">
        <v>866</v>
      </c>
      <c r="Q49" s="106" t="s">
        <v>818</v>
      </c>
      <c r="R49" s="106" t="s">
        <v>71</v>
      </c>
      <c r="S49" s="83" t="str">
        <f t="shared" si="3"/>
        <v>41150A-NASA</v>
      </c>
      <c r="T49" s="83" t="str">
        <f t="shared" si="4"/>
        <v>Space with NASA</v>
      </c>
      <c r="Y49" s="60">
        <f t="shared" si="5"/>
        <v>6</v>
      </c>
      <c r="Z49" s="49">
        <f t="shared" si="0"/>
        <v>45</v>
      </c>
      <c r="AA49" s="60">
        <f t="shared" si="6"/>
        <v>6045</v>
      </c>
    </row>
    <row r="50" spans="1:27">
      <c r="A50" s="83" t="str">
        <f t="shared" si="1"/>
        <v>41150B-NASAblk</v>
      </c>
      <c r="B50" s="83" t="str">
        <f t="shared" si="2"/>
        <v>06-046-09</v>
      </c>
      <c r="C50" s="106" t="s">
        <v>1028</v>
      </c>
      <c r="D50" s="106" t="s">
        <v>1029</v>
      </c>
      <c r="E50" s="106" t="s">
        <v>788</v>
      </c>
      <c r="F50" s="107">
        <v>0</v>
      </c>
      <c r="G50" s="106" t="s">
        <v>1030</v>
      </c>
      <c r="H50" s="106" t="s">
        <v>53</v>
      </c>
      <c r="I50" s="106" t="s">
        <v>1027</v>
      </c>
      <c r="J50" s="106" t="s">
        <v>356</v>
      </c>
      <c r="K50" s="106" t="s">
        <v>382</v>
      </c>
      <c r="L50" s="106" t="s">
        <v>893</v>
      </c>
      <c r="M50" s="106" t="s">
        <v>388</v>
      </c>
      <c r="N50" s="106" t="s">
        <v>43</v>
      </c>
      <c r="O50" s="106" t="s">
        <v>541</v>
      </c>
      <c r="P50" s="106" t="s">
        <v>866</v>
      </c>
      <c r="Q50" s="106" t="s">
        <v>843</v>
      </c>
      <c r="R50" s="106" t="s">
        <v>53</v>
      </c>
      <c r="S50" s="83" t="str">
        <f t="shared" si="3"/>
        <v>41150B-NASA</v>
      </c>
      <c r="T50" s="83" t="str">
        <f t="shared" si="4"/>
        <v>Mars with NASA</v>
      </c>
      <c r="Y50" s="60">
        <f t="shared" si="5"/>
        <v>6</v>
      </c>
      <c r="Z50" s="49">
        <f t="shared" si="0"/>
        <v>46</v>
      </c>
      <c r="AA50" s="60">
        <f t="shared" si="6"/>
        <v>6046</v>
      </c>
    </row>
    <row r="51" spans="1:27">
      <c r="A51" s="83" t="str">
        <f t="shared" si="1"/>
        <v>41152A-NAPnavy</v>
      </c>
      <c r="B51" s="83" t="str">
        <f t="shared" si="2"/>
        <v>06-047-16</v>
      </c>
      <c r="C51" s="106" t="s">
        <v>1031</v>
      </c>
      <c r="D51" s="106" t="s">
        <v>1032</v>
      </c>
      <c r="E51" s="106" t="s">
        <v>788</v>
      </c>
      <c r="F51" s="107">
        <v>0</v>
      </c>
      <c r="G51" s="106" t="s">
        <v>1033</v>
      </c>
      <c r="H51" s="106" t="s">
        <v>55</v>
      </c>
      <c r="I51" s="106" t="s">
        <v>1034</v>
      </c>
      <c r="J51" s="106" t="s">
        <v>356</v>
      </c>
      <c r="K51" s="106" t="s">
        <v>382</v>
      </c>
      <c r="L51" s="106" t="s">
        <v>893</v>
      </c>
      <c r="M51" s="106" t="s">
        <v>388</v>
      </c>
      <c r="N51" s="106" t="s">
        <v>43</v>
      </c>
      <c r="O51" s="106" t="s">
        <v>541</v>
      </c>
      <c r="P51" s="106" t="s">
        <v>866</v>
      </c>
      <c r="Q51" s="106" t="s">
        <v>818</v>
      </c>
      <c r="R51" s="106" t="s">
        <v>71</v>
      </c>
      <c r="S51" s="83" t="str">
        <f t="shared" si="3"/>
        <v>41152A-NAP</v>
      </c>
      <c r="T51" s="83" t="str">
        <f t="shared" si="4"/>
        <v>Nashville Predators Raglan Bones NHL</v>
      </c>
      <c r="Y51" s="60">
        <f t="shared" si="5"/>
        <v>6</v>
      </c>
      <c r="Z51" s="49">
        <f t="shared" si="0"/>
        <v>47</v>
      </c>
      <c r="AA51" s="60">
        <f t="shared" si="6"/>
        <v>6047</v>
      </c>
    </row>
    <row r="52" spans="1:27">
      <c r="A52" s="83" t="str">
        <f t="shared" si="1"/>
        <v>41152A-SEKnavy</v>
      </c>
      <c r="B52" s="83" t="str">
        <f t="shared" si="2"/>
        <v>06-048-16</v>
      </c>
      <c r="C52" s="106" t="s">
        <v>1035</v>
      </c>
      <c r="D52" s="106" t="s">
        <v>1036</v>
      </c>
      <c r="E52" s="106" t="s">
        <v>788</v>
      </c>
      <c r="F52" s="107">
        <v>0</v>
      </c>
      <c r="G52" s="106" t="s">
        <v>1037</v>
      </c>
      <c r="H52" s="106" t="s">
        <v>55</v>
      </c>
      <c r="I52" s="106" t="s">
        <v>1034</v>
      </c>
      <c r="J52" s="106" t="s">
        <v>356</v>
      </c>
      <c r="K52" s="106" t="s">
        <v>382</v>
      </c>
      <c r="L52" s="106" t="s">
        <v>893</v>
      </c>
      <c r="M52" s="106" t="s">
        <v>388</v>
      </c>
      <c r="N52" s="106" t="s">
        <v>43</v>
      </c>
      <c r="O52" s="106" t="s">
        <v>541</v>
      </c>
      <c r="P52" s="106" t="s">
        <v>866</v>
      </c>
      <c r="Q52" s="106" t="s">
        <v>818</v>
      </c>
      <c r="R52" s="106" t="s">
        <v>71</v>
      </c>
      <c r="S52" s="83" t="str">
        <f t="shared" si="3"/>
        <v>41152A-SEK</v>
      </c>
      <c r="T52" s="83" t="str">
        <f t="shared" si="4"/>
        <v>Seattle Kraken Raglan Bones NHL</v>
      </c>
      <c r="Y52" s="60">
        <f t="shared" si="5"/>
        <v>6</v>
      </c>
      <c r="Z52" s="49">
        <f t="shared" si="0"/>
        <v>48</v>
      </c>
      <c r="AA52" s="60">
        <f t="shared" si="6"/>
        <v>6048</v>
      </c>
    </row>
    <row r="53" spans="1:27">
      <c r="A53" s="83" t="str">
        <f t="shared" si="1"/>
        <v>41152A-VGKblk</v>
      </c>
      <c r="B53" s="83" t="str">
        <f t="shared" si="2"/>
        <v>06-049-09</v>
      </c>
      <c r="C53" s="106" t="s">
        <v>1038</v>
      </c>
      <c r="D53" s="106" t="s">
        <v>1039</v>
      </c>
      <c r="E53" s="106" t="s">
        <v>788</v>
      </c>
      <c r="F53" s="107">
        <v>0</v>
      </c>
      <c r="G53" s="106" t="s">
        <v>1040</v>
      </c>
      <c r="H53" s="106" t="s">
        <v>53</v>
      </c>
      <c r="I53" s="106" t="s">
        <v>1034</v>
      </c>
      <c r="J53" s="106" t="s">
        <v>356</v>
      </c>
      <c r="K53" s="106" t="s">
        <v>382</v>
      </c>
      <c r="L53" s="106" t="s">
        <v>893</v>
      </c>
      <c r="M53" s="106" t="s">
        <v>388</v>
      </c>
      <c r="N53" s="106" t="s">
        <v>43</v>
      </c>
      <c r="O53" s="106" t="s">
        <v>541</v>
      </c>
      <c r="P53" s="106" t="s">
        <v>866</v>
      </c>
      <c r="Q53" s="106" t="s">
        <v>843</v>
      </c>
      <c r="R53" s="106" t="s">
        <v>53</v>
      </c>
      <c r="S53" s="83" t="str">
        <f t="shared" si="3"/>
        <v>41152A-VGK</v>
      </c>
      <c r="T53" s="83" t="str">
        <f t="shared" si="4"/>
        <v>Vegas Golden Knights Raglan Bones NHL</v>
      </c>
      <c r="Y53" s="60">
        <f t="shared" si="5"/>
        <v>6</v>
      </c>
      <c r="Z53" s="49">
        <f t="shared" si="0"/>
        <v>49</v>
      </c>
      <c r="AA53" s="60">
        <f t="shared" si="6"/>
        <v>6049</v>
      </c>
    </row>
    <row r="54" spans="1:27">
      <c r="A54" s="83" t="str">
        <f t="shared" si="1"/>
        <v>42050A-MTFUnit</v>
      </c>
      <c r="B54" s="83" t="str">
        <f t="shared" si="2"/>
        <v>06-050-09</v>
      </c>
      <c r="C54" s="106" t="s">
        <v>1041</v>
      </c>
      <c r="D54" s="106" t="s">
        <v>1042</v>
      </c>
      <c r="E54" s="106" t="s">
        <v>788</v>
      </c>
      <c r="F54" s="107">
        <v>0</v>
      </c>
      <c r="G54" s="106" t="s">
        <v>1043</v>
      </c>
      <c r="H54" s="106" t="s">
        <v>53</v>
      </c>
      <c r="I54" s="106" t="s">
        <v>790</v>
      </c>
      <c r="J54" s="106" t="s">
        <v>342</v>
      </c>
      <c r="K54" s="106" t="s">
        <v>382</v>
      </c>
      <c r="L54" s="106" t="s">
        <v>884</v>
      </c>
      <c r="M54" s="106" t="s">
        <v>389</v>
      </c>
      <c r="O54" s="106" t="s">
        <v>542</v>
      </c>
      <c r="P54" s="106" t="s">
        <v>866</v>
      </c>
      <c r="Q54" s="106" t="s">
        <v>1044</v>
      </c>
      <c r="R54" s="106" t="s">
        <v>53</v>
      </c>
      <c r="S54" s="83" t="str">
        <f t="shared" si="3"/>
        <v>42050A-MTFU</v>
      </c>
      <c r="T54" s="83" t="str">
        <f t="shared" si="4"/>
        <v>Fuji Mountain National Park Pillow</v>
      </c>
      <c r="Y54" s="60">
        <f t="shared" si="5"/>
        <v>6</v>
      </c>
      <c r="Z54" s="49">
        <f t="shared" si="0"/>
        <v>50</v>
      </c>
      <c r="AA54" s="60">
        <f t="shared" si="6"/>
        <v>6050</v>
      </c>
    </row>
    <row r="55" spans="1:27">
      <c r="A55" s="83" t="str">
        <f t="shared" si="1"/>
        <v>42050A-YNPniog</v>
      </c>
      <c r="B55" s="83" t="str">
        <f t="shared" si="2"/>
        <v>06-051-16</v>
      </c>
      <c r="C55" s="106" t="s">
        <v>1045</v>
      </c>
      <c r="D55" s="106" t="s">
        <v>1046</v>
      </c>
      <c r="E55" s="106" t="s">
        <v>788</v>
      </c>
      <c r="F55" s="107">
        <v>0</v>
      </c>
      <c r="G55" s="106" t="s">
        <v>1047</v>
      </c>
      <c r="H55" s="106" t="s">
        <v>55</v>
      </c>
      <c r="I55" s="106" t="s">
        <v>790</v>
      </c>
      <c r="J55" s="106" t="s">
        <v>342</v>
      </c>
      <c r="K55" s="106" t="s">
        <v>382</v>
      </c>
      <c r="L55" s="106" t="s">
        <v>884</v>
      </c>
      <c r="M55" s="106" t="s">
        <v>389</v>
      </c>
      <c r="O55" s="106" t="s">
        <v>542</v>
      </c>
      <c r="P55" s="106" t="s">
        <v>866</v>
      </c>
      <c r="Q55" s="106" t="s">
        <v>1048</v>
      </c>
      <c r="R55" s="106" t="s">
        <v>71</v>
      </c>
      <c r="S55" s="83" t="str">
        <f t="shared" si="3"/>
        <v>42050A-YNP</v>
      </c>
      <c r="T55" s="83" t="str">
        <f t="shared" si="4"/>
        <v>Yellowstone National Park Pillow</v>
      </c>
      <c r="Y55" s="60">
        <f t="shared" si="5"/>
        <v>6</v>
      </c>
      <c r="Z55" s="49">
        <f t="shared" si="0"/>
        <v>51</v>
      </c>
      <c r="AA55" s="60">
        <f t="shared" si="6"/>
        <v>6051</v>
      </c>
    </row>
    <row r="56" spans="1:27">
      <c r="A56" s="83" t="str">
        <f t="shared" si="1"/>
        <v>42760A-CALIblk</v>
      </c>
      <c r="B56" s="83" t="str">
        <f t="shared" si="2"/>
        <v>06-052-09</v>
      </c>
      <c r="C56" s="106" t="s">
        <v>1049</v>
      </c>
      <c r="D56" s="106" t="s">
        <v>1050</v>
      </c>
      <c r="E56" s="106" t="s">
        <v>788</v>
      </c>
      <c r="F56" s="107">
        <v>0</v>
      </c>
      <c r="G56" s="106" t="s">
        <v>1051</v>
      </c>
      <c r="H56" s="106" t="s">
        <v>53</v>
      </c>
      <c r="I56" s="106" t="s">
        <v>786</v>
      </c>
      <c r="J56" s="106" t="s">
        <v>327</v>
      </c>
      <c r="K56" s="106" t="s">
        <v>382</v>
      </c>
      <c r="L56" s="106" t="s">
        <v>865</v>
      </c>
      <c r="M56" s="106" t="s">
        <v>388</v>
      </c>
      <c r="N56" s="106" t="s">
        <v>43</v>
      </c>
      <c r="O56" s="106" t="s">
        <v>541</v>
      </c>
      <c r="P56" s="106" t="s">
        <v>866</v>
      </c>
      <c r="Q56" s="106" t="s">
        <v>843</v>
      </c>
      <c r="R56" s="106" t="s">
        <v>53</v>
      </c>
      <c r="S56" s="83" t="str">
        <f t="shared" si="3"/>
        <v>42760A-CALI</v>
      </c>
      <c r="T56" s="83" t="str">
        <f t="shared" si="4"/>
        <v>California</v>
      </c>
      <c r="Y56" s="60">
        <f t="shared" si="5"/>
        <v>6</v>
      </c>
      <c r="Z56" s="49">
        <f t="shared" si="0"/>
        <v>52</v>
      </c>
      <c r="AA56" s="60">
        <f t="shared" si="6"/>
        <v>6052</v>
      </c>
    </row>
    <row r="57" spans="1:27">
      <c r="A57" s="83" t="str">
        <f t="shared" si="1"/>
        <v>42760A-CALIcpnk</v>
      </c>
      <c r="B57" s="83" t="str">
        <f t="shared" si="2"/>
        <v>06-052-86</v>
      </c>
      <c r="C57" s="106" t="s">
        <v>1052</v>
      </c>
      <c r="D57" s="106" t="s">
        <v>1053</v>
      </c>
      <c r="E57" s="106" t="s">
        <v>788</v>
      </c>
      <c r="F57" s="107">
        <v>0</v>
      </c>
      <c r="G57" s="106" t="s">
        <v>1051</v>
      </c>
      <c r="H57" s="106" t="s">
        <v>230</v>
      </c>
      <c r="I57" s="106" t="s">
        <v>786</v>
      </c>
      <c r="J57" s="106" t="s">
        <v>327</v>
      </c>
      <c r="K57" s="106" t="s">
        <v>382</v>
      </c>
      <c r="L57" s="106" t="s">
        <v>865</v>
      </c>
      <c r="M57" s="106" t="s">
        <v>388</v>
      </c>
      <c r="N57" s="106" t="s">
        <v>43</v>
      </c>
      <c r="O57" s="106" t="s">
        <v>541</v>
      </c>
      <c r="P57" s="106" t="s">
        <v>866</v>
      </c>
      <c r="Q57" s="106" t="s">
        <v>1054</v>
      </c>
      <c r="R57" s="106" t="s">
        <v>68</v>
      </c>
      <c r="S57" s="83" t="str">
        <f t="shared" si="3"/>
        <v>42760A-CALI</v>
      </c>
      <c r="T57" s="83" t="str">
        <f t="shared" si="4"/>
        <v>California</v>
      </c>
      <c r="Y57" s="60">
        <f t="shared" si="5"/>
        <v>6</v>
      </c>
      <c r="Z57" s="49">
        <f t="shared" si="0"/>
        <v>52</v>
      </c>
      <c r="AA57" s="60">
        <f t="shared" si="6"/>
        <v>6052</v>
      </c>
    </row>
    <row r="58" spans="1:27">
      <c r="A58" s="83" t="str">
        <f t="shared" si="1"/>
        <v>42760A-CALIgry</v>
      </c>
      <c r="B58" s="83" t="str">
        <f t="shared" si="2"/>
        <v>06-052-08</v>
      </c>
      <c r="C58" s="106" t="s">
        <v>1055</v>
      </c>
      <c r="D58" s="106" t="s">
        <v>1056</v>
      </c>
      <c r="E58" s="106" t="s">
        <v>788</v>
      </c>
      <c r="F58" s="107">
        <v>0</v>
      </c>
      <c r="G58" s="106" t="s">
        <v>1051</v>
      </c>
      <c r="H58" s="106" t="s">
        <v>83</v>
      </c>
      <c r="I58" s="106" t="s">
        <v>786</v>
      </c>
      <c r="J58" s="106" t="s">
        <v>327</v>
      </c>
      <c r="K58" s="106" t="s">
        <v>382</v>
      </c>
      <c r="L58" s="106" t="s">
        <v>865</v>
      </c>
      <c r="M58" s="106" t="s">
        <v>388</v>
      </c>
      <c r="N58" s="106" t="s">
        <v>43</v>
      </c>
      <c r="O58" s="106" t="s">
        <v>541</v>
      </c>
      <c r="P58" s="106" t="s">
        <v>866</v>
      </c>
      <c r="Q58" s="106" t="s">
        <v>845</v>
      </c>
      <c r="R58" s="106" t="s">
        <v>83</v>
      </c>
      <c r="S58" s="83" t="str">
        <f t="shared" si="3"/>
        <v>42760A-CALI</v>
      </c>
      <c r="T58" s="83" t="str">
        <f t="shared" si="4"/>
        <v>California</v>
      </c>
      <c r="Y58" s="60">
        <f t="shared" si="5"/>
        <v>6</v>
      </c>
      <c r="Z58" s="49">
        <f t="shared" si="0"/>
        <v>52</v>
      </c>
      <c r="AA58" s="60">
        <f t="shared" si="6"/>
        <v>6052</v>
      </c>
    </row>
    <row r="59" spans="1:27">
      <c r="A59" s="83" t="str">
        <f t="shared" si="1"/>
        <v>42760A-CALIlblu</v>
      </c>
      <c r="B59" s="83" t="str">
        <f t="shared" si="2"/>
        <v>06-052-19</v>
      </c>
      <c r="C59" s="106" t="s">
        <v>1057</v>
      </c>
      <c r="D59" s="106" t="s">
        <v>1058</v>
      </c>
      <c r="E59" s="106" t="s">
        <v>788</v>
      </c>
      <c r="F59" s="107">
        <v>0</v>
      </c>
      <c r="G59" s="106" t="s">
        <v>1051</v>
      </c>
      <c r="H59" s="106" t="s">
        <v>91</v>
      </c>
      <c r="I59" s="106" t="s">
        <v>786</v>
      </c>
      <c r="J59" s="106" t="s">
        <v>327</v>
      </c>
      <c r="K59" s="106" t="s">
        <v>382</v>
      </c>
      <c r="L59" s="106" t="s">
        <v>865</v>
      </c>
      <c r="M59" s="106" t="s">
        <v>388</v>
      </c>
      <c r="N59" s="106" t="s">
        <v>43</v>
      </c>
      <c r="O59" s="106" t="s">
        <v>541</v>
      </c>
      <c r="P59" s="106" t="s">
        <v>866</v>
      </c>
      <c r="Q59" s="106" t="s">
        <v>1059</v>
      </c>
      <c r="R59" s="106" t="s">
        <v>91</v>
      </c>
      <c r="S59" s="83" t="str">
        <f t="shared" si="3"/>
        <v>42760A-CALI</v>
      </c>
      <c r="T59" s="83" t="str">
        <f t="shared" si="4"/>
        <v>California</v>
      </c>
      <c r="Y59" s="60">
        <f t="shared" si="5"/>
        <v>6</v>
      </c>
      <c r="Z59" s="49">
        <f t="shared" si="0"/>
        <v>52</v>
      </c>
      <c r="AA59" s="60">
        <f t="shared" si="6"/>
        <v>6052</v>
      </c>
    </row>
    <row r="60" spans="1:27">
      <c r="A60" s="83" t="str">
        <f t="shared" si="1"/>
        <v>42760A-CALImoss</v>
      </c>
      <c r="B60" s="83" t="str">
        <f t="shared" si="2"/>
        <v>06-052-05</v>
      </c>
      <c r="C60" s="106" t="s">
        <v>1060</v>
      </c>
      <c r="D60" s="106" t="s">
        <v>1061</v>
      </c>
      <c r="E60" s="106" t="s">
        <v>788</v>
      </c>
      <c r="F60" s="107">
        <v>0</v>
      </c>
      <c r="G60" s="106" t="s">
        <v>1051</v>
      </c>
      <c r="H60" s="106" t="s">
        <v>277</v>
      </c>
      <c r="I60" s="106" t="s">
        <v>786</v>
      </c>
      <c r="J60" s="106" t="s">
        <v>327</v>
      </c>
      <c r="K60" s="106" t="s">
        <v>382</v>
      </c>
      <c r="L60" s="106" t="s">
        <v>865</v>
      </c>
      <c r="M60" s="106" t="s">
        <v>388</v>
      </c>
      <c r="N60" s="106" t="s">
        <v>43</v>
      </c>
      <c r="O60" s="106" t="s">
        <v>541</v>
      </c>
      <c r="P60" s="106" t="s">
        <v>866</v>
      </c>
      <c r="Q60" s="106" t="s">
        <v>844</v>
      </c>
      <c r="R60" s="106" t="s">
        <v>83</v>
      </c>
      <c r="S60" s="83" t="str">
        <f t="shared" si="3"/>
        <v>42760A-CALI</v>
      </c>
      <c r="T60" s="83" t="str">
        <f t="shared" si="4"/>
        <v>California</v>
      </c>
      <c r="Y60" s="60">
        <f t="shared" si="5"/>
        <v>6</v>
      </c>
      <c r="Z60" s="49">
        <f t="shared" si="0"/>
        <v>52</v>
      </c>
      <c r="AA60" s="60">
        <f t="shared" si="6"/>
        <v>6052</v>
      </c>
    </row>
    <row r="61" spans="1:27">
      <c r="A61" s="83" t="str">
        <f t="shared" si="1"/>
        <v>42760A-CALInavy</v>
      </c>
      <c r="B61" s="83" t="str">
        <f t="shared" si="2"/>
        <v>06-052-16</v>
      </c>
      <c r="C61" s="106" t="s">
        <v>1062</v>
      </c>
      <c r="D61" s="106" t="s">
        <v>1063</v>
      </c>
      <c r="E61" s="106" t="s">
        <v>788</v>
      </c>
      <c r="F61" s="107">
        <v>0</v>
      </c>
      <c r="G61" s="106" t="s">
        <v>1051</v>
      </c>
      <c r="H61" s="106" t="s">
        <v>55</v>
      </c>
      <c r="I61" s="106" t="s">
        <v>786</v>
      </c>
      <c r="J61" s="106" t="s">
        <v>327</v>
      </c>
      <c r="K61" s="106" t="s">
        <v>382</v>
      </c>
      <c r="L61" s="106" t="s">
        <v>865</v>
      </c>
      <c r="M61" s="106" t="s">
        <v>388</v>
      </c>
      <c r="N61" s="106" t="s">
        <v>43</v>
      </c>
      <c r="O61" s="106" t="s">
        <v>541</v>
      </c>
      <c r="P61" s="106" t="s">
        <v>866</v>
      </c>
      <c r="Q61" s="106" t="s">
        <v>818</v>
      </c>
      <c r="R61" s="106" t="s">
        <v>71</v>
      </c>
      <c r="S61" s="83" t="str">
        <f t="shared" si="3"/>
        <v>42760A-CALI</v>
      </c>
      <c r="T61" s="83" t="str">
        <f t="shared" si="4"/>
        <v>California</v>
      </c>
      <c r="Y61" s="60">
        <f t="shared" si="5"/>
        <v>6</v>
      </c>
      <c r="Z61" s="49">
        <f t="shared" si="0"/>
        <v>52</v>
      </c>
      <c r="AA61" s="60">
        <f t="shared" si="6"/>
        <v>6052</v>
      </c>
    </row>
    <row r="62" spans="1:27">
      <c r="A62" s="83" t="str">
        <f t="shared" si="1"/>
        <v>42760A-CALIsnow</v>
      </c>
      <c r="B62" s="83" t="str">
        <f t="shared" si="2"/>
        <v>06-052-17</v>
      </c>
      <c r="C62" s="106" t="s">
        <v>1064</v>
      </c>
      <c r="D62" s="106" t="s">
        <v>1065</v>
      </c>
      <c r="E62" s="106" t="s">
        <v>788</v>
      </c>
      <c r="F62" s="107">
        <v>0</v>
      </c>
      <c r="G62" s="106" t="s">
        <v>1051</v>
      </c>
      <c r="H62" s="106" t="s">
        <v>57</v>
      </c>
      <c r="I62" s="106" t="s">
        <v>786</v>
      </c>
      <c r="J62" s="106" t="s">
        <v>327</v>
      </c>
      <c r="K62" s="106" t="s">
        <v>382</v>
      </c>
      <c r="L62" s="106" t="s">
        <v>865</v>
      </c>
      <c r="M62" s="106" t="s">
        <v>388</v>
      </c>
      <c r="N62" s="106" t="s">
        <v>43</v>
      </c>
      <c r="O62" s="106" t="s">
        <v>541</v>
      </c>
      <c r="P62" s="106" t="s">
        <v>866</v>
      </c>
      <c r="Q62" s="106" t="s">
        <v>990</v>
      </c>
      <c r="R62" s="106" t="s">
        <v>57</v>
      </c>
      <c r="S62" s="83" t="str">
        <f t="shared" si="3"/>
        <v>42760A-CALI</v>
      </c>
      <c r="T62" s="83" t="str">
        <f t="shared" si="4"/>
        <v>California</v>
      </c>
      <c r="Y62" s="60">
        <f t="shared" si="5"/>
        <v>6</v>
      </c>
      <c r="Z62" s="49">
        <f t="shared" si="0"/>
        <v>52</v>
      </c>
      <c r="AA62" s="60">
        <f t="shared" si="6"/>
        <v>6052</v>
      </c>
    </row>
    <row r="63" spans="1:27">
      <c r="A63" s="83" t="str">
        <f t="shared" si="1"/>
        <v>42810A-CALIblir</v>
      </c>
      <c r="B63" s="83" t="str">
        <f t="shared" si="2"/>
        <v>06-053-48</v>
      </c>
      <c r="C63" s="106" t="s">
        <v>1066</v>
      </c>
      <c r="D63" s="106" t="s">
        <v>1067</v>
      </c>
      <c r="E63" s="106" t="s">
        <v>788</v>
      </c>
      <c r="F63" s="107">
        <v>0</v>
      </c>
      <c r="G63" s="106" t="s">
        <v>1068</v>
      </c>
      <c r="H63" s="106" t="s">
        <v>293</v>
      </c>
      <c r="I63" s="106" t="s">
        <v>790</v>
      </c>
      <c r="J63" s="106" t="s">
        <v>342</v>
      </c>
      <c r="K63" s="106" t="s">
        <v>382</v>
      </c>
      <c r="L63" s="106" t="s">
        <v>865</v>
      </c>
      <c r="M63" s="106" t="s">
        <v>389</v>
      </c>
      <c r="O63" s="106" t="s">
        <v>542</v>
      </c>
      <c r="P63" s="106" t="s">
        <v>866</v>
      </c>
      <c r="Q63" s="106" t="s">
        <v>1069</v>
      </c>
      <c r="R63" s="106" t="s">
        <v>53</v>
      </c>
      <c r="S63" s="83" t="str">
        <f t="shared" si="3"/>
        <v>42810A-CALI</v>
      </c>
      <c r="T63" s="83" t="str">
        <f t="shared" si="4"/>
        <v>California</v>
      </c>
      <c r="Y63" s="60">
        <f t="shared" si="5"/>
        <v>6</v>
      </c>
      <c r="Z63" s="49">
        <f t="shared" si="0"/>
        <v>53</v>
      </c>
      <c r="AA63" s="60">
        <f t="shared" si="6"/>
        <v>6053</v>
      </c>
    </row>
    <row r="64" spans="1:27">
      <c r="A64" s="83" t="str">
        <f t="shared" si="1"/>
        <v>42960A-CALIblk</v>
      </c>
      <c r="B64" s="83" t="str">
        <f t="shared" si="2"/>
        <v>06-054-09</v>
      </c>
      <c r="C64" s="106" t="s">
        <v>1070</v>
      </c>
      <c r="D64" s="106" t="s">
        <v>1071</v>
      </c>
      <c r="E64" s="106" t="s">
        <v>788</v>
      </c>
      <c r="F64" s="107">
        <v>0</v>
      </c>
      <c r="G64" s="106" t="s">
        <v>1072</v>
      </c>
      <c r="H64" s="106" t="s">
        <v>53</v>
      </c>
      <c r="I64" s="106" t="s">
        <v>1034</v>
      </c>
      <c r="J64" s="106" t="s">
        <v>327</v>
      </c>
      <c r="K64" s="106" t="s">
        <v>382</v>
      </c>
      <c r="L64" s="106" t="s">
        <v>880</v>
      </c>
      <c r="M64" s="106" t="s">
        <v>388</v>
      </c>
      <c r="N64" s="106" t="s">
        <v>43</v>
      </c>
      <c r="O64" s="106" t="s">
        <v>386</v>
      </c>
      <c r="P64" s="106" t="s">
        <v>866</v>
      </c>
      <c r="Q64" s="106" t="s">
        <v>843</v>
      </c>
      <c r="R64" s="106" t="s">
        <v>53</v>
      </c>
      <c r="S64" s="83" t="str">
        <f t="shared" si="3"/>
        <v>42960A-CALI</v>
      </c>
      <c r="T64" s="83" t="str">
        <f t="shared" si="4"/>
        <v>California Valin</v>
      </c>
      <c r="Y64" s="60">
        <f t="shared" si="5"/>
        <v>6</v>
      </c>
      <c r="Z64" s="49">
        <f t="shared" si="0"/>
        <v>54</v>
      </c>
      <c r="AA64" s="60">
        <f t="shared" si="6"/>
        <v>6054</v>
      </c>
    </row>
    <row r="65" spans="1:27">
      <c r="A65" s="83" t="str">
        <f t="shared" si="1"/>
        <v>42960A-LOSAblk</v>
      </c>
      <c r="B65" s="83" t="str">
        <f t="shared" si="2"/>
        <v>06-055-09</v>
      </c>
      <c r="C65" s="106" t="s">
        <v>1073</v>
      </c>
      <c r="D65" s="106" t="s">
        <v>1074</v>
      </c>
      <c r="E65" s="106" t="s">
        <v>788</v>
      </c>
      <c r="F65" s="107">
        <v>0</v>
      </c>
      <c r="G65" s="106" t="s">
        <v>1075</v>
      </c>
      <c r="H65" s="106" t="s">
        <v>53</v>
      </c>
      <c r="I65" s="106" t="s">
        <v>1034</v>
      </c>
      <c r="J65" s="106" t="s">
        <v>356</v>
      </c>
      <c r="K65" s="106" t="s">
        <v>382</v>
      </c>
      <c r="L65" s="106" t="s">
        <v>865</v>
      </c>
      <c r="M65" s="106" t="s">
        <v>388</v>
      </c>
      <c r="N65" s="106" t="s">
        <v>43</v>
      </c>
      <c r="O65" s="106" t="s">
        <v>386</v>
      </c>
      <c r="P65" s="106" t="s">
        <v>866</v>
      </c>
      <c r="Q65" s="106" t="s">
        <v>843</v>
      </c>
      <c r="R65" s="106" t="s">
        <v>53</v>
      </c>
      <c r="S65" s="83" t="str">
        <f t="shared" si="3"/>
        <v>42960A-LOSA</v>
      </c>
      <c r="T65" s="83" t="str">
        <f t="shared" si="4"/>
        <v>Los Angeles Valin</v>
      </c>
      <c r="Y65" s="60">
        <f t="shared" si="5"/>
        <v>6</v>
      </c>
      <c r="Z65" s="49">
        <f t="shared" si="0"/>
        <v>55</v>
      </c>
      <c r="AA65" s="60">
        <f t="shared" si="6"/>
        <v>6055</v>
      </c>
    </row>
    <row r="66" spans="1:27">
      <c r="A66" s="83" t="str">
        <f t="shared" si="1"/>
        <v>42960A-NYnavy</v>
      </c>
      <c r="B66" s="83" t="str">
        <f t="shared" si="2"/>
        <v>06-056-16</v>
      </c>
      <c r="C66" s="106" t="s">
        <v>1076</v>
      </c>
      <c r="D66" s="106" t="s">
        <v>1077</v>
      </c>
      <c r="E66" s="106" t="s">
        <v>788</v>
      </c>
      <c r="F66" s="107">
        <v>0</v>
      </c>
      <c r="G66" s="106" t="s">
        <v>1078</v>
      </c>
      <c r="H66" s="106" t="s">
        <v>55</v>
      </c>
      <c r="I66" s="106" t="s">
        <v>1034</v>
      </c>
      <c r="J66" s="106" t="s">
        <v>356</v>
      </c>
      <c r="K66" s="106" t="s">
        <v>382</v>
      </c>
      <c r="L66" s="106" t="s">
        <v>865</v>
      </c>
      <c r="M66" s="106" t="s">
        <v>388</v>
      </c>
      <c r="N66" s="106" t="s">
        <v>43</v>
      </c>
      <c r="O66" s="106" t="s">
        <v>386</v>
      </c>
      <c r="P66" s="106" t="s">
        <v>866</v>
      </c>
      <c r="Q66" s="106" t="s">
        <v>818</v>
      </c>
      <c r="R66" s="106" t="s">
        <v>71</v>
      </c>
      <c r="S66" s="83" t="str">
        <f t="shared" si="3"/>
        <v>42960A-NY</v>
      </c>
      <c r="T66" s="83" t="str">
        <f t="shared" si="4"/>
        <v>New York Valin</v>
      </c>
      <c r="Y66" s="60">
        <f t="shared" si="5"/>
        <v>6</v>
      </c>
      <c r="Z66" s="49">
        <f t="shared" si="0"/>
        <v>56</v>
      </c>
      <c r="AA66" s="60">
        <f t="shared" si="6"/>
        <v>6056</v>
      </c>
    </row>
    <row r="67" spans="1:27">
      <c r="A67" s="83" t="str">
        <f t="shared" ref="A67:A130" si="7">IF(G67&amp;Q67&lt;&gt;"",S67&amp;Q67,"")</f>
        <v>42960B-CALIiblk</v>
      </c>
      <c r="B67" s="83" t="str">
        <f t="shared" ref="B67:B130" si="8">IF(C67&lt;&gt;"",LEFT(C67,9),"")</f>
        <v>06-057-09</v>
      </c>
      <c r="C67" s="106" t="s">
        <v>1079</v>
      </c>
      <c r="D67" s="106" t="s">
        <v>1080</v>
      </c>
      <c r="E67" s="106" t="s">
        <v>788</v>
      </c>
      <c r="F67" s="107">
        <v>0</v>
      </c>
      <c r="G67" s="106" t="s">
        <v>1081</v>
      </c>
      <c r="H67" s="106" t="s">
        <v>53</v>
      </c>
      <c r="I67" s="106" t="s">
        <v>1034</v>
      </c>
      <c r="J67" s="106" t="s">
        <v>356</v>
      </c>
      <c r="K67" s="106" t="s">
        <v>382</v>
      </c>
      <c r="L67" s="106" t="s">
        <v>865</v>
      </c>
      <c r="M67" s="106" t="s">
        <v>388</v>
      </c>
      <c r="N67" s="106" t="s">
        <v>43</v>
      </c>
      <c r="O67" s="106" t="s">
        <v>386</v>
      </c>
      <c r="P67" s="106" t="s">
        <v>866</v>
      </c>
      <c r="Q67" s="106" t="s">
        <v>1082</v>
      </c>
      <c r="R67" s="106" t="s">
        <v>53</v>
      </c>
      <c r="S67" s="83" t="str">
        <f t="shared" ref="S67:S130" si="9">IF(G67&lt;&gt;"",IF(StyleSpaceSplit,IFERROR(IF(FIND(" ",G67)&gt;=1,MID(G67,1,FIND(" ",G67)-1),G67),G67),G67),"")</f>
        <v>42960B-CALI</v>
      </c>
      <c r="T67" s="83" t="str">
        <f t="shared" ref="T67:T130" si="10">IF(A67&lt;&gt;"",IFERROR(IF(FIND(" ",G67)&gt;=1,MID(G67,FIND(" ",G67)+1,LEN(G67)),""),G67),"")</f>
        <v>California Valin</v>
      </c>
      <c r="Y67" s="60">
        <f t="shared" ref="Y67:Y130" si="11">IFERROR(VALUE(MID($C67,1,2)),0)</f>
        <v>6</v>
      </c>
      <c r="Z67" s="49">
        <f t="shared" ref="Z67:Z130" si="12">IFERROR(VALUE(MID($C67,4,3)),0)</f>
        <v>57</v>
      </c>
      <c r="AA67" s="60">
        <f t="shared" ref="AA67:AA130" si="13">VALUE(RIGHT("00"&amp;Y67,2)&amp;RIGHT("000"&amp;Z67,3))</f>
        <v>6057</v>
      </c>
    </row>
    <row r="68" spans="1:27">
      <c r="A68" s="83" t="str">
        <f t="shared" si="7"/>
        <v>43020A-HAWAbsun</v>
      </c>
      <c r="B68" s="83" t="str">
        <f t="shared" si="8"/>
        <v>06-058-20</v>
      </c>
      <c r="C68" s="106" t="s">
        <v>1083</v>
      </c>
      <c r="D68" s="106" t="s">
        <v>1084</v>
      </c>
      <c r="E68" s="106" t="s">
        <v>788</v>
      </c>
      <c r="F68" s="107">
        <v>0</v>
      </c>
      <c r="G68" s="106" t="s">
        <v>1085</v>
      </c>
      <c r="H68" s="106" t="s">
        <v>65</v>
      </c>
      <c r="I68" s="106" t="s">
        <v>786</v>
      </c>
      <c r="J68" s="106" t="s">
        <v>327</v>
      </c>
      <c r="K68" s="106" t="s">
        <v>382</v>
      </c>
      <c r="L68" s="106" t="s">
        <v>880</v>
      </c>
      <c r="M68" s="106" t="s">
        <v>388</v>
      </c>
      <c r="N68" s="106" t="s">
        <v>43</v>
      </c>
      <c r="O68" s="106" t="s">
        <v>541</v>
      </c>
      <c r="P68" s="106" t="s">
        <v>866</v>
      </c>
      <c r="Q68" s="106" t="s">
        <v>1086</v>
      </c>
      <c r="R68" s="106" t="s">
        <v>65</v>
      </c>
      <c r="S68" s="83" t="str">
        <f t="shared" si="9"/>
        <v>43020A-HAWA</v>
      </c>
      <c r="T68" s="83" t="str">
        <f t="shared" si="10"/>
        <v>Hawaii Ballpark</v>
      </c>
      <c r="Y68" s="60">
        <f t="shared" si="11"/>
        <v>6</v>
      </c>
      <c r="Z68" s="49">
        <f t="shared" si="12"/>
        <v>58</v>
      </c>
      <c r="AA68" s="60">
        <f t="shared" si="13"/>
        <v>6058</v>
      </c>
    </row>
    <row r="69" spans="1:27">
      <c r="A69" s="83" t="str">
        <f t="shared" si="7"/>
        <v>43020A-NASAblk</v>
      </c>
      <c r="B69" s="83" t="str">
        <f t="shared" si="8"/>
        <v>06-059-09</v>
      </c>
      <c r="C69" s="106" t="s">
        <v>1087</v>
      </c>
      <c r="D69" s="106" t="s">
        <v>1088</v>
      </c>
      <c r="E69" s="106" t="s">
        <v>788</v>
      </c>
      <c r="F69" s="107">
        <v>0</v>
      </c>
      <c r="G69" s="106" t="s">
        <v>1089</v>
      </c>
      <c r="H69" s="106" t="s">
        <v>53</v>
      </c>
      <c r="I69" s="106" t="s">
        <v>786</v>
      </c>
      <c r="J69" s="106" t="s">
        <v>327</v>
      </c>
      <c r="K69" s="106" t="s">
        <v>382</v>
      </c>
      <c r="L69" s="106" t="s">
        <v>1090</v>
      </c>
      <c r="M69" s="106" t="s">
        <v>388</v>
      </c>
      <c r="N69" s="106" t="s">
        <v>43</v>
      </c>
      <c r="O69" s="106" t="s">
        <v>541</v>
      </c>
      <c r="P69" s="106" t="s">
        <v>866</v>
      </c>
      <c r="Q69" s="106" t="s">
        <v>843</v>
      </c>
      <c r="R69" s="106" t="s">
        <v>53</v>
      </c>
      <c r="S69" s="83" t="str">
        <f t="shared" si="9"/>
        <v>43020A-NASA</v>
      </c>
      <c r="T69" s="83" t="str">
        <f t="shared" si="10"/>
        <v>Mars with NASA Ballpark</v>
      </c>
      <c r="Y69" s="60">
        <f t="shared" si="11"/>
        <v>6</v>
      </c>
      <c r="Z69" s="49">
        <f t="shared" si="12"/>
        <v>59</v>
      </c>
      <c r="AA69" s="60">
        <f t="shared" si="13"/>
        <v>6059</v>
      </c>
    </row>
    <row r="70" spans="1:27">
      <c r="A70" s="83" t="str">
        <f t="shared" si="7"/>
        <v>43020E-CALIblk</v>
      </c>
      <c r="B70" s="83" t="str">
        <f t="shared" si="8"/>
        <v>06-060-09</v>
      </c>
      <c r="C70" s="106" t="s">
        <v>1091</v>
      </c>
      <c r="D70" s="106" t="s">
        <v>1092</v>
      </c>
      <c r="E70" s="106" t="s">
        <v>788</v>
      </c>
      <c r="F70" s="107">
        <v>0</v>
      </c>
      <c r="G70" s="106" t="s">
        <v>1093</v>
      </c>
      <c r="H70" s="106" t="s">
        <v>53</v>
      </c>
      <c r="I70" s="106" t="s">
        <v>786</v>
      </c>
      <c r="J70" s="106" t="s">
        <v>327</v>
      </c>
      <c r="K70" s="106" t="s">
        <v>382</v>
      </c>
      <c r="L70" s="106" t="s">
        <v>865</v>
      </c>
      <c r="M70" s="106" t="s">
        <v>388</v>
      </c>
      <c r="N70" s="106" t="s">
        <v>43</v>
      </c>
      <c r="O70" s="106" t="s">
        <v>541</v>
      </c>
      <c r="P70" s="106" t="s">
        <v>866</v>
      </c>
      <c r="Q70" s="106" t="s">
        <v>843</v>
      </c>
      <c r="R70" s="106" t="s">
        <v>53</v>
      </c>
      <c r="S70" s="83" t="str">
        <f t="shared" si="9"/>
        <v>43020E-CALI</v>
      </c>
      <c r="T70" s="83" t="str">
        <f t="shared" si="10"/>
        <v>California Ballpark</v>
      </c>
      <c r="Y70" s="60">
        <f t="shared" si="11"/>
        <v>6</v>
      </c>
      <c r="Z70" s="49">
        <f t="shared" si="12"/>
        <v>60</v>
      </c>
      <c r="AA70" s="60">
        <f t="shared" si="13"/>
        <v>6060</v>
      </c>
    </row>
    <row r="71" spans="1:27">
      <c r="A71" s="83" t="str">
        <f t="shared" si="7"/>
        <v>43027A-HOSgyrd</v>
      </c>
      <c r="B71" s="83" t="str">
        <f t="shared" si="8"/>
        <v>06-061-08</v>
      </c>
      <c r="C71" s="106" t="s">
        <v>1094</v>
      </c>
      <c r="D71" s="106" t="s">
        <v>1095</v>
      </c>
      <c r="E71" s="106" t="s">
        <v>788</v>
      </c>
      <c r="F71" s="107">
        <v>0</v>
      </c>
      <c r="G71" s="106" t="s">
        <v>1096</v>
      </c>
      <c r="H71" s="106" t="s">
        <v>241</v>
      </c>
      <c r="I71" s="106" t="s">
        <v>786</v>
      </c>
      <c r="J71" s="106" t="s">
        <v>327</v>
      </c>
      <c r="K71" s="106" t="s">
        <v>382</v>
      </c>
      <c r="L71" s="106" t="s">
        <v>884</v>
      </c>
      <c r="M71" s="106" t="s">
        <v>388</v>
      </c>
      <c r="N71" s="106" t="s">
        <v>43</v>
      </c>
      <c r="O71" s="106" t="s">
        <v>541</v>
      </c>
      <c r="P71" s="106" t="s">
        <v>866</v>
      </c>
      <c r="Q71" s="106" t="s">
        <v>909</v>
      </c>
      <c r="R71" s="106" t="s">
        <v>83</v>
      </c>
      <c r="S71" s="83" t="str">
        <f t="shared" si="9"/>
        <v>43027A-HOS</v>
      </c>
      <c r="T71" s="83" t="str">
        <f t="shared" si="10"/>
        <v>Hollywood Stars Ballpark MILB</v>
      </c>
      <c r="Y71" s="60">
        <f t="shared" si="11"/>
        <v>6</v>
      </c>
      <c r="Z71" s="49">
        <f t="shared" si="12"/>
        <v>61</v>
      </c>
      <c r="AA71" s="60">
        <f t="shared" si="13"/>
        <v>6061</v>
      </c>
    </row>
    <row r="72" spans="1:27">
      <c r="A72" s="83" t="str">
        <f t="shared" si="7"/>
        <v>43027A-SAFnvor</v>
      </c>
      <c r="B72" s="83" t="str">
        <f t="shared" si="8"/>
        <v>06-062-16</v>
      </c>
      <c r="C72" s="106" t="s">
        <v>1097</v>
      </c>
      <c r="D72" s="106" t="s">
        <v>1098</v>
      </c>
      <c r="E72" s="106" t="s">
        <v>788</v>
      </c>
      <c r="F72" s="107">
        <v>0</v>
      </c>
      <c r="G72" s="106" t="s">
        <v>1099</v>
      </c>
      <c r="H72" s="106" t="s">
        <v>55</v>
      </c>
      <c r="I72" s="106" t="s">
        <v>786</v>
      </c>
      <c r="J72" s="106" t="s">
        <v>327</v>
      </c>
      <c r="K72" s="106" t="s">
        <v>382</v>
      </c>
      <c r="L72" s="106" t="s">
        <v>884</v>
      </c>
      <c r="M72" s="106" t="s">
        <v>388</v>
      </c>
      <c r="N72" s="106" t="s">
        <v>43</v>
      </c>
      <c r="O72" s="106" t="s">
        <v>541</v>
      </c>
      <c r="P72" s="106" t="s">
        <v>866</v>
      </c>
      <c r="Q72" s="106" t="s">
        <v>1100</v>
      </c>
      <c r="R72" s="106" t="s">
        <v>71</v>
      </c>
      <c r="S72" s="83" t="str">
        <f t="shared" si="9"/>
        <v>43027A-SAF</v>
      </c>
      <c r="T72" s="83" t="str">
        <f t="shared" si="10"/>
        <v>San Francisco Seals Ballpark MILB</v>
      </c>
      <c r="Y72" s="60">
        <f t="shared" si="11"/>
        <v>6</v>
      </c>
      <c r="Z72" s="49">
        <f t="shared" si="12"/>
        <v>62</v>
      </c>
      <c r="AA72" s="60">
        <f t="shared" si="13"/>
        <v>6062</v>
      </c>
    </row>
    <row r="73" spans="1:27">
      <c r="A73" s="83" t="str">
        <f t="shared" si="7"/>
        <v>43027A-SERrdwh</v>
      </c>
      <c r="B73" s="83" t="str">
        <f t="shared" si="8"/>
        <v>06-063-18</v>
      </c>
      <c r="C73" s="106" t="s">
        <v>1101</v>
      </c>
      <c r="D73" s="106" t="s">
        <v>1102</v>
      </c>
      <c r="E73" s="106" t="s">
        <v>788</v>
      </c>
      <c r="F73" s="107">
        <v>0</v>
      </c>
      <c r="G73" s="106" t="s">
        <v>1103</v>
      </c>
      <c r="H73" s="106" t="s">
        <v>78</v>
      </c>
      <c r="I73" s="106" t="s">
        <v>786</v>
      </c>
      <c r="J73" s="106" t="s">
        <v>327</v>
      </c>
      <c r="K73" s="106" t="s">
        <v>382</v>
      </c>
      <c r="L73" s="106" t="s">
        <v>884</v>
      </c>
      <c r="M73" s="106" t="s">
        <v>388</v>
      </c>
      <c r="N73" s="106" t="s">
        <v>43</v>
      </c>
      <c r="O73" s="106" t="s">
        <v>541</v>
      </c>
      <c r="P73" s="106" t="s">
        <v>866</v>
      </c>
      <c r="Q73" s="106" t="s">
        <v>1104</v>
      </c>
      <c r="R73" s="106" t="s">
        <v>78</v>
      </c>
      <c r="S73" s="83" t="str">
        <f t="shared" si="9"/>
        <v>43027A-SER</v>
      </c>
      <c r="T73" s="83" t="str">
        <f t="shared" si="10"/>
        <v>Seattle Rainiers Ballpark MILB</v>
      </c>
      <c r="Y73" s="60">
        <f t="shared" si="11"/>
        <v>6</v>
      </c>
      <c r="Z73" s="49">
        <f t="shared" si="12"/>
        <v>63</v>
      </c>
      <c r="AA73" s="60">
        <f t="shared" si="13"/>
        <v>6063</v>
      </c>
    </row>
    <row r="74" spans="1:27">
      <c r="A74" s="83" t="str">
        <f t="shared" si="7"/>
        <v>43027A-WHAstnv</v>
      </c>
      <c r="B74" s="83" t="str">
        <f t="shared" si="8"/>
        <v>06-064-36</v>
      </c>
      <c r="C74" s="106" t="s">
        <v>1105</v>
      </c>
      <c r="D74" s="106" t="s">
        <v>1106</v>
      </c>
      <c r="E74" s="106" t="s">
        <v>788</v>
      </c>
      <c r="F74" s="107">
        <v>0</v>
      </c>
      <c r="G74" s="106" t="s">
        <v>1107</v>
      </c>
      <c r="H74" s="106" t="s">
        <v>685</v>
      </c>
      <c r="I74" s="106" t="s">
        <v>786</v>
      </c>
      <c r="J74" s="106" t="s">
        <v>327</v>
      </c>
      <c r="K74" s="106" t="s">
        <v>382</v>
      </c>
      <c r="L74" s="106" t="s">
        <v>884</v>
      </c>
      <c r="M74" s="106" t="s">
        <v>388</v>
      </c>
      <c r="N74" s="106" t="s">
        <v>43</v>
      </c>
      <c r="O74" s="106" t="s">
        <v>541</v>
      </c>
      <c r="P74" s="106" t="s">
        <v>866</v>
      </c>
      <c r="Q74" s="106" t="s">
        <v>1108</v>
      </c>
      <c r="R74" s="106" t="s">
        <v>63</v>
      </c>
      <c r="S74" s="83" t="str">
        <f t="shared" si="9"/>
        <v>43027A-WHA</v>
      </c>
      <c r="T74" s="83" t="str">
        <f t="shared" si="10"/>
        <v>Chicago Whales Ballpark MILB</v>
      </c>
      <c r="Y74" s="60">
        <f t="shared" si="11"/>
        <v>6</v>
      </c>
      <c r="Z74" s="49">
        <f t="shared" si="12"/>
        <v>64</v>
      </c>
      <c r="AA74" s="60">
        <f t="shared" si="13"/>
        <v>6064</v>
      </c>
    </row>
    <row r="75" spans="1:27">
      <c r="A75" s="83" t="str">
        <f t="shared" si="7"/>
        <v>43260A-TXnavy</v>
      </c>
      <c r="B75" s="83" t="str">
        <f t="shared" si="8"/>
        <v>06-065-16</v>
      </c>
      <c r="C75" s="106" t="s">
        <v>1109</v>
      </c>
      <c r="D75" s="106" t="s">
        <v>1110</v>
      </c>
      <c r="E75" s="106" t="s">
        <v>788</v>
      </c>
      <c r="F75" s="107">
        <v>0</v>
      </c>
      <c r="G75" s="106" t="s">
        <v>1111</v>
      </c>
      <c r="H75" s="106" t="s">
        <v>55</v>
      </c>
      <c r="I75" s="106" t="s">
        <v>1027</v>
      </c>
      <c r="J75" s="106" t="s">
        <v>356</v>
      </c>
      <c r="K75" s="106" t="s">
        <v>382</v>
      </c>
      <c r="L75" s="106" t="s">
        <v>865</v>
      </c>
      <c r="M75" s="106" t="s">
        <v>388</v>
      </c>
      <c r="N75" s="106" t="s">
        <v>43</v>
      </c>
      <c r="O75" s="106" t="s">
        <v>541</v>
      </c>
      <c r="P75" s="106" t="s">
        <v>866</v>
      </c>
      <c r="Q75" s="106" t="s">
        <v>818</v>
      </c>
      <c r="R75" s="106" t="s">
        <v>71</v>
      </c>
      <c r="S75" s="83" t="str">
        <f t="shared" si="9"/>
        <v>43260A-TX</v>
      </c>
      <c r="T75" s="83" t="str">
        <f t="shared" si="10"/>
        <v>Texas</v>
      </c>
      <c r="Y75" s="60">
        <f t="shared" si="11"/>
        <v>6</v>
      </c>
      <c r="Z75" s="49">
        <f t="shared" si="12"/>
        <v>65</v>
      </c>
      <c r="AA75" s="60">
        <f t="shared" si="13"/>
        <v>6065</v>
      </c>
    </row>
    <row r="76" spans="1:27">
      <c r="A76" s="83" t="str">
        <f t="shared" si="7"/>
        <v>43350A-NASAibgy</v>
      </c>
      <c r="B76" s="83" t="str">
        <f t="shared" si="8"/>
        <v>06-066-10</v>
      </c>
      <c r="C76" s="106" t="s">
        <v>1112</v>
      </c>
      <c r="D76" s="106" t="s">
        <v>1113</v>
      </c>
      <c r="E76" s="106" t="s">
        <v>788</v>
      </c>
      <c r="F76" s="107">
        <v>0</v>
      </c>
      <c r="G76" s="106" t="s">
        <v>1114</v>
      </c>
      <c r="H76" s="106" t="s">
        <v>308</v>
      </c>
      <c r="I76" s="106" t="s">
        <v>1027</v>
      </c>
      <c r="J76" s="106" t="s">
        <v>356</v>
      </c>
      <c r="K76" s="106" t="s">
        <v>382</v>
      </c>
      <c r="L76" s="106" t="s">
        <v>1090</v>
      </c>
      <c r="M76" s="106" t="s">
        <v>388</v>
      </c>
      <c r="N76" s="106" t="s">
        <v>43</v>
      </c>
      <c r="O76" s="106" t="s">
        <v>386</v>
      </c>
      <c r="P76" s="106" t="s">
        <v>866</v>
      </c>
      <c r="Q76" s="106" t="s">
        <v>1115</v>
      </c>
      <c r="R76" s="106" t="s">
        <v>53</v>
      </c>
      <c r="S76" s="83" t="str">
        <f t="shared" si="9"/>
        <v>43350A-NASA</v>
      </c>
      <c r="T76" s="83" t="str">
        <f t="shared" si="10"/>
        <v>Space with NASA</v>
      </c>
      <c r="Y76" s="60">
        <f t="shared" si="11"/>
        <v>6</v>
      </c>
      <c r="Z76" s="49">
        <f t="shared" si="12"/>
        <v>66</v>
      </c>
      <c r="AA76" s="60">
        <f t="shared" si="13"/>
        <v>6066</v>
      </c>
    </row>
    <row r="77" spans="1:27">
      <c r="A77" s="83" t="str">
        <f t="shared" si="7"/>
        <v>43350A-NASAirn</v>
      </c>
      <c r="B77" s="83" t="str">
        <f t="shared" si="8"/>
        <v>06-066-18</v>
      </c>
      <c r="C77" s="106" t="s">
        <v>1116</v>
      </c>
      <c r="D77" s="106" t="s">
        <v>1117</v>
      </c>
      <c r="E77" s="106" t="s">
        <v>788</v>
      </c>
      <c r="F77" s="107">
        <v>0</v>
      </c>
      <c r="G77" s="106" t="s">
        <v>1114</v>
      </c>
      <c r="H77" s="106" t="s">
        <v>185</v>
      </c>
      <c r="I77" s="106" t="s">
        <v>1027</v>
      </c>
      <c r="J77" s="106" t="s">
        <v>356</v>
      </c>
      <c r="K77" s="106" t="s">
        <v>382</v>
      </c>
      <c r="L77" s="106" t="s">
        <v>1090</v>
      </c>
      <c r="M77" s="106" t="s">
        <v>388</v>
      </c>
      <c r="N77" s="106" t="s">
        <v>43</v>
      </c>
      <c r="O77" s="106" t="s">
        <v>386</v>
      </c>
      <c r="P77" s="106" t="s">
        <v>866</v>
      </c>
      <c r="Q77" s="106" t="s">
        <v>1118</v>
      </c>
      <c r="R77" s="106" t="s">
        <v>78</v>
      </c>
      <c r="S77" s="83" t="str">
        <f t="shared" si="9"/>
        <v>43350A-NASA</v>
      </c>
      <c r="T77" s="83" t="str">
        <f t="shared" si="10"/>
        <v>Space with NASA</v>
      </c>
      <c r="Y77" s="60">
        <f t="shared" si="11"/>
        <v>6</v>
      </c>
      <c r="Z77" s="49">
        <f t="shared" si="12"/>
        <v>66</v>
      </c>
      <c r="AA77" s="60">
        <f t="shared" si="13"/>
        <v>6066</v>
      </c>
    </row>
    <row r="78" spans="1:27">
      <c r="A78" s="83" t="str">
        <f t="shared" si="7"/>
        <v>43572B-VGKivbk</v>
      </c>
      <c r="B78" s="83" t="str">
        <f t="shared" si="8"/>
        <v>06-067-36</v>
      </c>
      <c r="C78" s="106" t="s">
        <v>1119</v>
      </c>
      <c r="D78" s="106" t="s">
        <v>1120</v>
      </c>
      <c r="E78" s="106" t="s">
        <v>788</v>
      </c>
      <c r="F78" s="107">
        <v>0</v>
      </c>
      <c r="G78" s="106" t="s">
        <v>1121</v>
      </c>
      <c r="H78" s="106" t="s">
        <v>51</v>
      </c>
      <c r="I78" s="106" t="s">
        <v>786</v>
      </c>
      <c r="J78" s="106" t="s">
        <v>327</v>
      </c>
      <c r="K78" s="106" t="s">
        <v>382</v>
      </c>
      <c r="L78" s="106" t="s">
        <v>884</v>
      </c>
      <c r="M78" s="106" t="s">
        <v>388</v>
      </c>
      <c r="N78" s="106" t="s">
        <v>43</v>
      </c>
      <c r="O78" s="106" t="s">
        <v>541</v>
      </c>
      <c r="P78" s="106" t="s">
        <v>866</v>
      </c>
      <c r="Q78" s="106" t="s">
        <v>1122</v>
      </c>
      <c r="R78" s="106" t="s">
        <v>63</v>
      </c>
      <c r="S78" s="83" t="str">
        <f t="shared" si="9"/>
        <v>43572B-VGK</v>
      </c>
      <c r="T78" s="83" t="str">
        <f t="shared" si="10"/>
        <v>Vegas Golden Knights United NHL</v>
      </c>
      <c r="Y78" s="60">
        <f t="shared" si="11"/>
        <v>6</v>
      </c>
      <c r="Z78" s="49">
        <f t="shared" si="12"/>
        <v>67</v>
      </c>
      <c r="AA78" s="60">
        <f t="shared" si="13"/>
        <v>6067</v>
      </c>
    </row>
    <row r="79" spans="1:27">
      <c r="A79" s="83" t="str">
        <f t="shared" si="7"/>
        <v>43622A-VGKblk</v>
      </c>
      <c r="B79" s="83" t="str">
        <f t="shared" si="8"/>
        <v>06-068-09</v>
      </c>
      <c r="C79" s="106" t="s">
        <v>1123</v>
      </c>
      <c r="D79" s="106" t="s">
        <v>1124</v>
      </c>
      <c r="E79" s="106" t="s">
        <v>788</v>
      </c>
      <c r="F79" s="107">
        <v>0</v>
      </c>
      <c r="G79" s="106" t="s">
        <v>1125</v>
      </c>
      <c r="H79" s="106" t="s">
        <v>53</v>
      </c>
      <c r="I79" s="106" t="s">
        <v>786</v>
      </c>
      <c r="J79" s="106" t="s">
        <v>327</v>
      </c>
      <c r="K79" s="106" t="s">
        <v>382</v>
      </c>
      <c r="L79" s="106" t="s">
        <v>893</v>
      </c>
      <c r="M79" s="106" t="s">
        <v>388</v>
      </c>
      <c r="N79" s="106" t="s">
        <v>43</v>
      </c>
      <c r="O79" s="106" t="s">
        <v>541</v>
      </c>
      <c r="P79" s="106" t="s">
        <v>866</v>
      </c>
      <c r="Q79" s="106" t="s">
        <v>843</v>
      </c>
      <c r="R79" s="106" t="s">
        <v>53</v>
      </c>
      <c r="S79" s="83" t="str">
        <f t="shared" si="9"/>
        <v>43622A-VGK</v>
      </c>
      <c r="T79" s="83" t="str">
        <f t="shared" si="10"/>
        <v>Vegas Golden Knights NHL</v>
      </c>
      <c r="Y79" s="60">
        <f t="shared" si="11"/>
        <v>6</v>
      </c>
      <c r="Z79" s="49">
        <f t="shared" si="12"/>
        <v>68</v>
      </c>
      <c r="AA79" s="60">
        <f t="shared" si="13"/>
        <v>6068</v>
      </c>
    </row>
    <row r="80" spans="1:27">
      <c r="A80" s="83" t="str">
        <f t="shared" si="7"/>
        <v>43710A-MBpido</v>
      </c>
      <c r="B80" s="83" t="str">
        <f t="shared" si="8"/>
        <v>06-069-36</v>
      </c>
      <c r="C80" s="106" t="s">
        <v>1126</v>
      </c>
      <c r="D80" s="106" t="s">
        <v>1127</v>
      </c>
      <c r="E80" s="106" t="s">
        <v>788</v>
      </c>
      <c r="F80" s="107">
        <v>0</v>
      </c>
      <c r="G80" s="106" t="s">
        <v>1128</v>
      </c>
      <c r="H80" s="106" t="s">
        <v>692</v>
      </c>
      <c r="I80" s="106" t="s">
        <v>1027</v>
      </c>
      <c r="J80" s="106" t="s">
        <v>356</v>
      </c>
      <c r="K80" s="106" t="s">
        <v>382</v>
      </c>
      <c r="L80" s="106" t="s">
        <v>865</v>
      </c>
      <c r="M80" s="106" t="s">
        <v>388</v>
      </c>
      <c r="N80" s="106" t="s">
        <v>43</v>
      </c>
      <c r="O80" s="106" t="s">
        <v>386</v>
      </c>
      <c r="P80" s="106" t="s">
        <v>866</v>
      </c>
      <c r="Q80" s="106" t="s">
        <v>1129</v>
      </c>
      <c r="R80" s="106" t="s">
        <v>63</v>
      </c>
      <c r="S80" s="83" t="str">
        <f t="shared" si="9"/>
        <v>43710A-MB</v>
      </c>
      <c r="T80" s="83" t="str">
        <f t="shared" si="10"/>
        <v>Malibu Beach</v>
      </c>
      <c r="Y80" s="60">
        <f t="shared" si="11"/>
        <v>6</v>
      </c>
      <c r="Z80" s="49">
        <f t="shared" si="12"/>
        <v>69</v>
      </c>
      <c r="AA80" s="60">
        <f t="shared" si="13"/>
        <v>6069</v>
      </c>
    </row>
    <row r="81" spans="1:27">
      <c r="A81" s="83" t="str">
        <f t="shared" si="7"/>
        <v>43732B-NAPgodn</v>
      </c>
      <c r="B81" s="83" t="str">
        <f t="shared" si="8"/>
        <v>06-070-20</v>
      </c>
      <c r="C81" s="106" t="s">
        <v>1130</v>
      </c>
      <c r="D81" s="106" t="s">
        <v>1131</v>
      </c>
      <c r="E81" s="106" t="s">
        <v>788</v>
      </c>
      <c r="F81" s="107">
        <v>0</v>
      </c>
      <c r="G81" s="106" t="s">
        <v>1132</v>
      </c>
      <c r="H81" s="106" t="s">
        <v>693</v>
      </c>
      <c r="I81" s="106" t="s">
        <v>840</v>
      </c>
      <c r="J81" s="106" t="s">
        <v>792</v>
      </c>
      <c r="K81" s="106" t="s">
        <v>382</v>
      </c>
      <c r="L81" s="106" t="s">
        <v>893</v>
      </c>
      <c r="M81" s="106" t="s">
        <v>388</v>
      </c>
      <c r="N81" s="106" t="s">
        <v>43</v>
      </c>
      <c r="O81" s="106" t="s">
        <v>541</v>
      </c>
      <c r="P81" s="106" t="s">
        <v>866</v>
      </c>
      <c r="Q81" s="106" t="s">
        <v>1133</v>
      </c>
      <c r="R81" s="106" t="s">
        <v>65</v>
      </c>
      <c r="S81" s="83" t="str">
        <f t="shared" si="9"/>
        <v>43732B-NAP</v>
      </c>
      <c r="T81" s="83" t="str">
        <f t="shared" si="10"/>
        <v>Nashville Predators NHL</v>
      </c>
      <c r="Y81" s="60">
        <f t="shared" si="11"/>
        <v>6</v>
      </c>
      <c r="Z81" s="49">
        <f t="shared" si="12"/>
        <v>70</v>
      </c>
      <c r="AA81" s="60">
        <f t="shared" si="13"/>
        <v>6070</v>
      </c>
    </row>
    <row r="82" spans="1:27">
      <c r="A82" s="83" t="str">
        <f t="shared" si="7"/>
        <v>43742A-CBHcpnk</v>
      </c>
      <c r="B82" s="83" t="str">
        <f t="shared" si="8"/>
        <v>06-071-34</v>
      </c>
      <c r="C82" s="106" t="s">
        <v>1134</v>
      </c>
      <c r="D82" s="106" t="s">
        <v>1135</v>
      </c>
      <c r="E82" s="106" t="s">
        <v>788</v>
      </c>
      <c r="F82" s="107">
        <v>0</v>
      </c>
      <c r="G82" s="106" t="s">
        <v>1136</v>
      </c>
      <c r="H82" s="106" t="s">
        <v>68</v>
      </c>
      <c r="I82" s="106" t="s">
        <v>786</v>
      </c>
      <c r="J82" s="106" t="s">
        <v>327</v>
      </c>
      <c r="K82" s="106" t="s">
        <v>382</v>
      </c>
      <c r="L82" s="106" t="s">
        <v>893</v>
      </c>
      <c r="M82" s="106" t="s">
        <v>388</v>
      </c>
      <c r="N82" s="106" t="s">
        <v>43</v>
      </c>
      <c r="O82" s="106" t="s">
        <v>541</v>
      </c>
      <c r="P82" s="106" t="s">
        <v>866</v>
      </c>
      <c r="Q82" s="106" t="s">
        <v>1054</v>
      </c>
      <c r="R82" s="106" t="s">
        <v>68</v>
      </c>
      <c r="S82" s="83" t="str">
        <f t="shared" si="9"/>
        <v>43742A-CBH</v>
      </c>
      <c r="T82" s="83" t="str">
        <f t="shared" si="10"/>
        <v>Chicago Blackhawks NHL</v>
      </c>
      <c r="Y82" s="60">
        <f t="shared" si="11"/>
        <v>6</v>
      </c>
      <c r="Z82" s="49">
        <f t="shared" si="12"/>
        <v>71</v>
      </c>
      <c r="AA82" s="60">
        <f t="shared" si="13"/>
        <v>6071</v>
      </c>
    </row>
    <row r="83" spans="1:27">
      <c r="A83" s="83" t="str">
        <f t="shared" si="7"/>
        <v>43742A-CBHsnow</v>
      </c>
      <c r="B83" s="83" t="str">
        <f t="shared" si="8"/>
        <v>06-071-17</v>
      </c>
      <c r="C83" s="106" t="s">
        <v>1137</v>
      </c>
      <c r="D83" s="106" t="s">
        <v>1138</v>
      </c>
      <c r="E83" s="106" t="s">
        <v>788</v>
      </c>
      <c r="F83" s="107">
        <v>0</v>
      </c>
      <c r="G83" s="106" t="s">
        <v>1136</v>
      </c>
      <c r="H83" s="106" t="s">
        <v>57</v>
      </c>
      <c r="I83" s="106" t="s">
        <v>786</v>
      </c>
      <c r="J83" s="106" t="s">
        <v>327</v>
      </c>
      <c r="K83" s="106" t="s">
        <v>382</v>
      </c>
      <c r="L83" s="106" t="s">
        <v>893</v>
      </c>
      <c r="M83" s="106" t="s">
        <v>388</v>
      </c>
      <c r="N83" s="106" t="s">
        <v>43</v>
      </c>
      <c r="O83" s="106" t="s">
        <v>541</v>
      </c>
      <c r="P83" s="106" t="s">
        <v>866</v>
      </c>
      <c r="Q83" s="106" t="s">
        <v>990</v>
      </c>
      <c r="R83" s="106" t="s">
        <v>57</v>
      </c>
      <c r="S83" s="83" t="str">
        <f t="shared" si="9"/>
        <v>43742A-CBH</v>
      </c>
      <c r="T83" s="83" t="str">
        <f t="shared" si="10"/>
        <v>Chicago Blackhawks NHL</v>
      </c>
      <c r="Y83" s="60">
        <f t="shared" si="11"/>
        <v>6</v>
      </c>
      <c r="Z83" s="49">
        <f t="shared" si="12"/>
        <v>71</v>
      </c>
      <c r="AA83" s="60">
        <f t="shared" si="13"/>
        <v>6071</v>
      </c>
    </row>
    <row r="84" spans="1:27">
      <c r="A84" s="83" t="str">
        <f t="shared" si="7"/>
        <v>43742A-LAKblk</v>
      </c>
      <c r="B84" s="83" t="str">
        <f t="shared" si="8"/>
        <v>06-072-09</v>
      </c>
      <c r="C84" s="106" t="s">
        <v>1139</v>
      </c>
      <c r="D84" s="106" t="s">
        <v>1140</v>
      </c>
      <c r="E84" s="106" t="s">
        <v>788</v>
      </c>
      <c r="F84" s="107">
        <v>0</v>
      </c>
      <c r="G84" s="106" t="s">
        <v>1141</v>
      </c>
      <c r="H84" s="106" t="s">
        <v>53</v>
      </c>
      <c r="I84" s="106" t="s">
        <v>786</v>
      </c>
      <c r="J84" s="106" t="s">
        <v>327</v>
      </c>
      <c r="K84" s="106" t="s">
        <v>382</v>
      </c>
      <c r="L84" s="106" t="s">
        <v>893</v>
      </c>
      <c r="M84" s="106" t="s">
        <v>388</v>
      </c>
      <c r="N84" s="106" t="s">
        <v>43</v>
      </c>
      <c r="O84" s="106" t="s">
        <v>541</v>
      </c>
      <c r="P84" s="106" t="s">
        <v>866</v>
      </c>
      <c r="Q84" s="106" t="s">
        <v>843</v>
      </c>
      <c r="R84" s="106" t="s">
        <v>53</v>
      </c>
      <c r="S84" s="83" t="str">
        <f t="shared" si="9"/>
        <v>43742A-LAK</v>
      </c>
      <c r="T84" s="83" t="str">
        <f t="shared" si="10"/>
        <v>Los Angeles Kings NHL</v>
      </c>
      <c r="Y84" s="60">
        <f t="shared" si="11"/>
        <v>6</v>
      </c>
      <c r="Z84" s="49">
        <f t="shared" si="12"/>
        <v>72</v>
      </c>
      <c r="AA84" s="60">
        <f t="shared" si="13"/>
        <v>6072</v>
      </c>
    </row>
    <row r="85" spans="1:27">
      <c r="A85" s="83" t="str">
        <f t="shared" si="7"/>
        <v>43742A-LAKcpnk</v>
      </c>
      <c r="B85" s="83" t="str">
        <f t="shared" si="8"/>
        <v>06-072-34</v>
      </c>
      <c r="C85" s="106" t="s">
        <v>1142</v>
      </c>
      <c r="D85" s="106" t="s">
        <v>1143</v>
      </c>
      <c r="E85" s="106" t="s">
        <v>788</v>
      </c>
      <c r="F85" s="107">
        <v>0</v>
      </c>
      <c r="G85" s="106" t="s">
        <v>1141</v>
      </c>
      <c r="H85" s="106" t="s">
        <v>68</v>
      </c>
      <c r="I85" s="106" t="s">
        <v>786</v>
      </c>
      <c r="J85" s="106" t="s">
        <v>327</v>
      </c>
      <c r="K85" s="106" t="s">
        <v>382</v>
      </c>
      <c r="L85" s="106" t="s">
        <v>893</v>
      </c>
      <c r="M85" s="106" t="s">
        <v>388</v>
      </c>
      <c r="N85" s="106" t="s">
        <v>43</v>
      </c>
      <c r="O85" s="106" t="s">
        <v>541</v>
      </c>
      <c r="P85" s="106" t="s">
        <v>866</v>
      </c>
      <c r="Q85" s="106" t="s">
        <v>1054</v>
      </c>
      <c r="R85" s="106" t="s">
        <v>68</v>
      </c>
      <c r="S85" s="83" t="str">
        <f t="shared" si="9"/>
        <v>43742A-LAK</v>
      </c>
      <c r="T85" s="83" t="str">
        <f t="shared" si="10"/>
        <v>Los Angeles Kings NHL</v>
      </c>
      <c r="Y85" s="60">
        <f t="shared" si="11"/>
        <v>6</v>
      </c>
      <c r="Z85" s="49">
        <f t="shared" si="12"/>
        <v>72</v>
      </c>
      <c r="AA85" s="60">
        <f t="shared" si="13"/>
        <v>6072</v>
      </c>
    </row>
    <row r="86" spans="1:27">
      <c r="A86" s="83" t="str">
        <f t="shared" si="7"/>
        <v>43742A-LAKsnow</v>
      </c>
      <c r="B86" s="83" t="str">
        <f t="shared" si="8"/>
        <v>06-072-17</v>
      </c>
      <c r="C86" s="106" t="s">
        <v>1144</v>
      </c>
      <c r="D86" s="106" t="s">
        <v>1145</v>
      </c>
      <c r="E86" s="106" t="s">
        <v>788</v>
      </c>
      <c r="F86" s="107">
        <v>0</v>
      </c>
      <c r="G86" s="106" t="s">
        <v>1141</v>
      </c>
      <c r="H86" s="106" t="s">
        <v>57</v>
      </c>
      <c r="I86" s="106" t="s">
        <v>786</v>
      </c>
      <c r="J86" s="106" t="s">
        <v>327</v>
      </c>
      <c r="K86" s="106" t="s">
        <v>382</v>
      </c>
      <c r="L86" s="106" t="s">
        <v>893</v>
      </c>
      <c r="M86" s="106" t="s">
        <v>388</v>
      </c>
      <c r="N86" s="106" t="s">
        <v>43</v>
      </c>
      <c r="O86" s="106" t="s">
        <v>541</v>
      </c>
      <c r="P86" s="106" t="s">
        <v>866</v>
      </c>
      <c r="Q86" s="106" t="s">
        <v>990</v>
      </c>
      <c r="R86" s="106" t="s">
        <v>57</v>
      </c>
      <c r="S86" s="83" t="str">
        <f t="shared" si="9"/>
        <v>43742A-LAK</v>
      </c>
      <c r="T86" s="83" t="str">
        <f t="shared" si="10"/>
        <v>Los Angeles Kings NHL</v>
      </c>
      <c r="Y86" s="60">
        <f t="shared" si="11"/>
        <v>6</v>
      </c>
      <c r="Z86" s="49">
        <f t="shared" si="12"/>
        <v>72</v>
      </c>
      <c r="AA86" s="60">
        <f t="shared" si="13"/>
        <v>6072</v>
      </c>
    </row>
    <row r="87" spans="1:27">
      <c r="A87" s="83" t="str">
        <f t="shared" si="7"/>
        <v>43742A-NYRcpnk</v>
      </c>
      <c r="B87" s="83" t="str">
        <f t="shared" si="8"/>
        <v>06-073-34</v>
      </c>
      <c r="C87" s="106" t="s">
        <v>1146</v>
      </c>
      <c r="D87" s="106" t="s">
        <v>1147</v>
      </c>
      <c r="E87" s="106" t="s">
        <v>788</v>
      </c>
      <c r="F87" s="107">
        <v>0</v>
      </c>
      <c r="G87" s="106" t="s">
        <v>1148</v>
      </c>
      <c r="H87" s="106" t="s">
        <v>68</v>
      </c>
      <c r="I87" s="106" t="s">
        <v>786</v>
      </c>
      <c r="J87" s="106" t="s">
        <v>327</v>
      </c>
      <c r="K87" s="106" t="s">
        <v>382</v>
      </c>
      <c r="L87" s="106" t="s">
        <v>893</v>
      </c>
      <c r="M87" s="106" t="s">
        <v>388</v>
      </c>
      <c r="N87" s="106" t="s">
        <v>43</v>
      </c>
      <c r="O87" s="106" t="s">
        <v>541</v>
      </c>
      <c r="P87" s="106" t="s">
        <v>866</v>
      </c>
      <c r="Q87" s="106" t="s">
        <v>1054</v>
      </c>
      <c r="R87" s="106" t="s">
        <v>68</v>
      </c>
      <c r="S87" s="83" t="str">
        <f t="shared" si="9"/>
        <v>43742A-NYR</v>
      </c>
      <c r="T87" s="83" t="str">
        <f t="shared" si="10"/>
        <v>New York Rangers NHL</v>
      </c>
      <c r="Y87" s="60">
        <f t="shared" si="11"/>
        <v>6</v>
      </c>
      <c r="Z87" s="49">
        <f t="shared" si="12"/>
        <v>73</v>
      </c>
      <c r="AA87" s="60">
        <f t="shared" si="13"/>
        <v>6073</v>
      </c>
    </row>
    <row r="88" spans="1:27">
      <c r="A88" s="83" t="str">
        <f t="shared" si="7"/>
        <v>43742A-NYRsnow</v>
      </c>
      <c r="B88" s="83" t="str">
        <f t="shared" si="8"/>
        <v>06-073-17</v>
      </c>
      <c r="C88" s="106" t="s">
        <v>1149</v>
      </c>
      <c r="D88" s="106" t="s">
        <v>1150</v>
      </c>
      <c r="E88" s="106" t="s">
        <v>788</v>
      </c>
      <c r="F88" s="107">
        <v>0</v>
      </c>
      <c r="G88" s="106" t="s">
        <v>1148</v>
      </c>
      <c r="H88" s="106" t="s">
        <v>57</v>
      </c>
      <c r="I88" s="106" t="s">
        <v>786</v>
      </c>
      <c r="J88" s="106" t="s">
        <v>327</v>
      </c>
      <c r="K88" s="106" t="s">
        <v>382</v>
      </c>
      <c r="L88" s="106" t="s">
        <v>893</v>
      </c>
      <c r="M88" s="106" t="s">
        <v>388</v>
      </c>
      <c r="N88" s="106" t="s">
        <v>43</v>
      </c>
      <c r="O88" s="106" t="s">
        <v>541</v>
      </c>
      <c r="P88" s="106" t="s">
        <v>866</v>
      </c>
      <c r="Q88" s="106" t="s">
        <v>990</v>
      </c>
      <c r="R88" s="106" t="s">
        <v>57</v>
      </c>
      <c r="S88" s="83" t="str">
        <f t="shared" si="9"/>
        <v>43742A-NYR</v>
      </c>
      <c r="T88" s="83" t="str">
        <f t="shared" si="10"/>
        <v>New York Rangers NHL</v>
      </c>
      <c r="Y88" s="60">
        <f t="shared" si="11"/>
        <v>6</v>
      </c>
      <c r="Z88" s="49">
        <f t="shared" si="12"/>
        <v>73</v>
      </c>
      <c r="AA88" s="60">
        <f t="shared" si="13"/>
        <v>6073</v>
      </c>
    </row>
    <row r="89" spans="1:27">
      <c r="A89" s="83" t="str">
        <f t="shared" si="7"/>
        <v>43870A-CALIblk</v>
      </c>
      <c r="B89" s="83" t="str">
        <f t="shared" si="8"/>
        <v>06-074-09</v>
      </c>
      <c r="C89" s="106" t="s">
        <v>1151</v>
      </c>
      <c r="D89" s="106" t="s">
        <v>1152</v>
      </c>
      <c r="E89" s="106" t="s">
        <v>788</v>
      </c>
      <c r="F89" s="107">
        <v>0</v>
      </c>
      <c r="G89" s="106" t="s">
        <v>1153</v>
      </c>
      <c r="H89" s="106" t="s">
        <v>53</v>
      </c>
      <c r="I89" s="106" t="s">
        <v>786</v>
      </c>
      <c r="J89" s="106" t="s">
        <v>327</v>
      </c>
      <c r="K89" s="106" t="s">
        <v>382</v>
      </c>
      <c r="L89" s="106" t="s">
        <v>865</v>
      </c>
      <c r="M89" s="106" t="s">
        <v>388</v>
      </c>
      <c r="N89" s="106" t="s">
        <v>43</v>
      </c>
      <c r="O89" s="106" t="s">
        <v>386</v>
      </c>
      <c r="P89" s="106" t="s">
        <v>866</v>
      </c>
      <c r="Q89" s="106" t="s">
        <v>843</v>
      </c>
      <c r="R89" s="106" t="s">
        <v>53</v>
      </c>
      <c r="S89" s="83" t="str">
        <f t="shared" si="9"/>
        <v>43870A-CALI</v>
      </c>
      <c r="T89" s="83" t="str">
        <f t="shared" si="10"/>
        <v>California</v>
      </c>
      <c r="Y89" s="60">
        <f t="shared" si="11"/>
        <v>6</v>
      </c>
      <c r="Z89" s="49">
        <f t="shared" si="12"/>
        <v>74</v>
      </c>
      <c r="AA89" s="60">
        <f t="shared" si="13"/>
        <v>6074</v>
      </c>
    </row>
    <row r="90" spans="1:27">
      <c r="A90" s="83" t="str">
        <f t="shared" si="7"/>
        <v>43870A-NASAblk</v>
      </c>
      <c r="B90" s="83" t="str">
        <f t="shared" si="8"/>
        <v>06-075-09</v>
      </c>
      <c r="C90" s="106" t="s">
        <v>1154</v>
      </c>
      <c r="D90" s="106" t="s">
        <v>1155</v>
      </c>
      <c r="E90" s="106" t="s">
        <v>788</v>
      </c>
      <c r="F90" s="107">
        <v>0</v>
      </c>
      <c r="G90" s="106" t="s">
        <v>1156</v>
      </c>
      <c r="H90" s="106" t="s">
        <v>53</v>
      </c>
      <c r="I90" s="106" t="s">
        <v>786</v>
      </c>
      <c r="J90" s="106" t="s">
        <v>327</v>
      </c>
      <c r="K90" s="106" t="s">
        <v>382</v>
      </c>
      <c r="L90" s="106" t="s">
        <v>1090</v>
      </c>
      <c r="M90" s="106" t="s">
        <v>388</v>
      </c>
      <c r="N90" s="106" t="s">
        <v>43</v>
      </c>
      <c r="O90" s="106" t="s">
        <v>386</v>
      </c>
      <c r="P90" s="106" t="s">
        <v>866</v>
      </c>
      <c r="Q90" s="106" t="s">
        <v>843</v>
      </c>
      <c r="R90" s="106" t="s">
        <v>53</v>
      </c>
      <c r="S90" s="83" t="str">
        <f t="shared" si="9"/>
        <v>43870A-NASA</v>
      </c>
      <c r="T90" s="83" t="str">
        <f t="shared" si="10"/>
        <v>Space with NASA</v>
      </c>
      <c r="Y90" s="60">
        <f t="shared" si="11"/>
        <v>6</v>
      </c>
      <c r="Z90" s="49">
        <f t="shared" si="12"/>
        <v>75</v>
      </c>
      <c r="AA90" s="60">
        <f t="shared" si="13"/>
        <v>6075</v>
      </c>
    </row>
    <row r="91" spans="1:27">
      <c r="A91" s="83" t="str">
        <f t="shared" si="7"/>
        <v>43880A-MALIseaf</v>
      </c>
      <c r="B91" s="83" t="str">
        <f t="shared" si="8"/>
        <v>06-076-19</v>
      </c>
      <c r="C91" s="106" t="s">
        <v>1157</v>
      </c>
      <c r="D91" s="106" t="s">
        <v>1158</v>
      </c>
      <c r="E91" s="106" t="s">
        <v>788</v>
      </c>
      <c r="F91" s="107">
        <v>0</v>
      </c>
      <c r="G91" s="106" t="s">
        <v>1159</v>
      </c>
      <c r="H91" s="106" t="s">
        <v>91</v>
      </c>
      <c r="I91" s="106" t="s">
        <v>786</v>
      </c>
      <c r="J91" s="106" t="s">
        <v>327</v>
      </c>
      <c r="K91" s="106" t="s">
        <v>382</v>
      </c>
      <c r="L91" s="106" t="s">
        <v>865</v>
      </c>
      <c r="M91" s="106" t="s">
        <v>388</v>
      </c>
      <c r="N91" s="106" t="s">
        <v>43</v>
      </c>
      <c r="O91" s="106" t="s">
        <v>386</v>
      </c>
      <c r="P91" s="106" t="s">
        <v>866</v>
      </c>
      <c r="Q91" s="106" t="s">
        <v>1160</v>
      </c>
      <c r="R91" s="106" t="s">
        <v>91</v>
      </c>
      <c r="S91" s="83" t="str">
        <f t="shared" si="9"/>
        <v>43880A-MALI</v>
      </c>
      <c r="T91" s="83" t="str">
        <f t="shared" si="10"/>
        <v>Malibu</v>
      </c>
      <c r="Y91" s="60">
        <f t="shared" si="11"/>
        <v>6</v>
      </c>
      <c r="Z91" s="49">
        <f t="shared" si="12"/>
        <v>76</v>
      </c>
      <c r="AA91" s="60">
        <f t="shared" si="13"/>
        <v>6076</v>
      </c>
    </row>
    <row r="92" spans="1:27">
      <c r="A92" s="83" t="str">
        <f t="shared" si="7"/>
        <v>43910A-CALIblk</v>
      </c>
      <c r="B92" s="83" t="str">
        <f t="shared" si="8"/>
        <v>06-077-09</v>
      </c>
      <c r="C92" s="106" t="s">
        <v>1161</v>
      </c>
      <c r="D92" s="106" t="s">
        <v>1162</v>
      </c>
      <c r="E92" s="106" t="s">
        <v>788</v>
      </c>
      <c r="F92" s="107">
        <v>0</v>
      </c>
      <c r="G92" s="106" t="s">
        <v>1163</v>
      </c>
      <c r="H92" s="106" t="s">
        <v>53</v>
      </c>
      <c r="I92" s="106" t="s">
        <v>786</v>
      </c>
      <c r="J92" s="106" t="s">
        <v>327</v>
      </c>
      <c r="K92" s="106" t="s">
        <v>382</v>
      </c>
      <c r="L92" s="106" t="s">
        <v>865</v>
      </c>
      <c r="M92" s="106" t="s">
        <v>388</v>
      </c>
      <c r="N92" s="106" t="s">
        <v>43</v>
      </c>
      <c r="O92" s="106" t="s">
        <v>386</v>
      </c>
      <c r="P92" s="106" t="s">
        <v>866</v>
      </c>
      <c r="Q92" s="106" t="s">
        <v>843</v>
      </c>
      <c r="R92" s="106" t="s">
        <v>53</v>
      </c>
      <c r="S92" s="83" t="str">
        <f t="shared" si="9"/>
        <v>43910A-CALI</v>
      </c>
      <c r="T92" s="83" t="str">
        <f t="shared" si="10"/>
        <v>California</v>
      </c>
      <c r="Y92" s="60">
        <f t="shared" si="11"/>
        <v>6</v>
      </c>
      <c r="Z92" s="49">
        <f t="shared" si="12"/>
        <v>77</v>
      </c>
      <c r="AA92" s="60">
        <f t="shared" si="13"/>
        <v>6077</v>
      </c>
    </row>
    <row r="93" spans="1:27">
      <c r="A93" s="83" t="str">
        <f t="shared" si="7"/>
        <v>43910A-CALIcamo</v>
      </c>
      <c r="B93" s="83" t="str">
        <f t="shared" si="8"/>
        <v>06-077-56</v>
      </c>
      <c r="C93" s="106" t="s">
        <v>1164</v>
      </c>
      <c r="D93" s="106" t="s">
        <v>1165</v>
      </c>
      <c r="E93" s="106" t="s">
        <v>788</v>
      </c>
      <c r="F93" s="107">
        <v>0</v>
      </c>
      <c r="G93" s="106" t="s">
        <v>1163</v>
      </c>
      <c r="H93" s="106" t="s">
        <v>290</v>
      </c>
      <c r="I93" s="106" t="s">
        <v>786</v>
      </c>
      <c r="J93" s="106" t="s">
        <v>327</v>
      </c>
      <c r="K93" s="106" t="s">
        <v>382</v>
      </c>
      <c r="L93" s="106" t="s">
        <v>865</v>
      </c>
      <c r="M93" s="106" t="s">
        <v>388</v>
      </c>
      <c r="N93" s="106" t="s">
        <v>43</v>
      </c>
      <c r="O93" s="106" t="s">
        <v>386</v>
      </c>
      <c r="P93" s="106" t="s">
        <v>866</v>
      </c>
      <c r="Q93" s="106" t="s">
        <v>842</v>
      </c>
      <c r="R93" s="106" t="s">
        <v>195</v>
      </c>
      <c r="S93" s="83" t="str">
        <f t="shared" si="9"/>
        <v>43910A-CALI</v>
      </c>
      <c r="T93" s="83" t="str">
        <f t="shared" si="10"/>
        <v>California</v>
      </c>
      <c r="Y93" s="60">
        <f t="shared" si="11"/>
        <v>6</v>
      </c>
      <c r="Z93" s="49">
        <f t="shared" si="12"/>
        <v>77</v>
      </c>
      <c r="AA93" s="60">
        <f t="shared" si="13"/>
        <v>6077</v>
      </c>
    </row>
    <row r="94" spans="1:27">
      <c r="A94" s="83" t="str">
        <f t="shared" si="7"/>
        <v>43910A-NASAnavy</v>
      </c>
      <c r="B94" s="83" t="str">
        <f t="shared" si="8"/>
        <v>06-078-06</v>
      </c>
      <c r="C94" s="106" t="s">
        <v>1166</v>
      </c>
      <c r="D94" s="106" t="s">
        <v>1167</v>
      </c>
      <c r="E94" s="106" t="s">
        <v>788</v>
      </c>
      <c r="F94" s="107">
        <v>0</v>
      </c>
      <c r="G94" s="106" t="s">
        <v>1168</v>
      </c>
      <c r="H94" s="106" t="s">
        <v>71</v>
      </c>
      <c r="I94" s="106" t="s">
        <v>786</v>
      </c>
      <c r="J94" s="106" t="s">
        <v>327</v>
      </c>
      <c r="K94" s="106" t="s">
        <v>382</v>
      </c>
      <c r="L94" s="106" t="s">
        <v>1090</v>
      </c>
      <c r="M94" s="106" t="s">
        <v>388</v>
      </c>
      <c r="N94" s="106" t="s">
        <v>43</v>
      </c>
      <c r="O94" s="106" t="s">
        <v>386</v>
      </c>
      <c r="P94" s="106" t="s">
        <v>866</v>
      </c>
      <c r="Q94" s="106" t="s">
        <v>818</v>
      </c>
      <c r="R94" s="106" t="s">
        <v>71</v>
      </c>
      <c r="S94" s="83" t="str">
        <f t="shared" si="9"/>
        <v>43910A-NASA</v>
      </c>
      <c r="T94" s="83" t="str">
        <f t="shared" si="10"/>
        <v>Space with NASA</v>
      </c>
      <c r="Y94" s="60">
        <f t="shared" si="11"/>
        <v>6</v>
      </c>
      <c r="Z94" s="49">
        <f t="shared" si="12"/>
        <v>78</v>
      </c>
      <c r="AA94" s="60">
        <f t="shared" si="13"/>
        <v>6078</v>
      </c>
    </row>
    <row r="95" spans="1:27">
      <c r="A95" s="83" t="str">
        <f t="shared" si="7"/>
        <v>43910A-NYgry</v>
      </c>
      <c r="B95" s="83" t="str">
        <f t="shared" si="8"/>
        <v>06-079-08</v>
      </c>
      <c r="C95" s="106" t="s">
        <v>1169</v>
      </c>
      <c r="D95" s="106" t="s">
        <v>1170</v>
      </c>
      <c r="E95" s="106" t="s">
        <v>788</v>
      </c>
      <c r="F95" s="107">
        <v>0</v>
      </c>
      <c r="G95" s="106" t="s">
        <v>1171</v>
      </c>
      <c r="H95" s="106" t="s">
        <v>83</v>
      </c>
      <c r="I95" s="106" t="s">
        <v>786</v>
      </c>
      <c r="J95" s="106" t="s">
        <v>327</v>
      </c>
      <c r="K95" s="106" t="s">
        <v>382</v>
      </c>
      <c r="L95" s="106" t="s">
        <v>865</v>
      </c>
      <c r="M95" s="106" t="s">
        <v>388</v>
      </c>
      <c r="N95" s="106" t="s">
        <v>43</v>
      </c>
      <c r="O95" s="106" t="s">
        <v>386</v>
      </c>
      <c r="P95" s="106" t="s">
        <v>866</v>
      </c>
      <c r="Q95" s="106" t="s">
        <v>845</v>
      </c>
      <c r="R95" s="106" t="s">
        <v>83</v>
      </c>
      <c r="S95" s="83" t="str">
        <f t="shared" si="9"/>
        <v>43910A-NY</v>
      </c>
      <c r="T95" s="83" t="str">
        <f t="shared" si="10"/>
        <v>New York</v>
      </c>
      <c r="Y95" s="60">
        <f t="shared" si="11"/>
        <v>6</v>
      </c>
      <c r="Z95" s="49">
        <f t="shared" si="12"/>
        <v>79</v>
      </c>
      <c r="AA95" s="60">
        <f t="shared" si="13"/>
        <v>6079</v>
      </c>
    </row>
    <row r="96" spans="1:27">
      <c r="A96" s="83" t="str">
        <f t="shared" si="7"/>
        <v>43910A-TXred</v>
      </c>
      <c r="B96" s="83" t="str">
        <f t="shared" si="8"/>
        <v>06-080-18</v>
      </c>
      <c r="C96" s="106" t="s">
        <v>1172</v>
      </c>
      <c r="D96" s="106" t="s">
        <v>1173</v>
      </c>
      <c r="E96" s="106" t="s">
        <v>788</v>
      </c>
      <c r="F96" s="107">
        <v>0</v>
      </c>
      <c r="G96" s="106" t="s">
        <v>1174</v>
      </c>
      <c r="H96" s="106" t="s">
        <v>78</v>
      </c>
      <c r="I96" s="106" t="s">
        <v>786</v>
      </c>
      <c r="J96" s="106" t="s">
        <v>327</v>
      </c>
      <c r="K96" s="106" t="s">
        <v>382</v>
      </c>
      <c r="L96" s="106" t="s">
        <v>865</v>
      </c>
      <c r="M96" s="106" t="s">
        <v>388</v>
      </c>
      <c r="N96" s="106" t="s">
        <v>43</v>
      </c>
      <c r="O96" s="106" t="s">
        <v>386</v>
      </c>
      <c r="P96" s="106" t="s">
        <v>866</v>
      </c>
      <c r="Q96" s="106" t="s">
        <v>822</v>
      </c>
      <c r="R96" s="106" t="s">
        <v>78</v>
      </c>
      <c r="S96" s="83" t="str">
        <f t="shared" si="9"/>
        <v>43910A-TX</v>
      </c>
      <c r="T96" s="83" t="str">
        <f t="shared" si="10"/>
        <v>Texas</v>
      </c>
      <c r="Y96" s="60">
        <f t="shared" si="11"/>
        <v>6</v>
      </c>
      <c r="Z96" s="49">
        <f t="shared" si="12"/>
        <v>80</v>
      </c>
      <c r="AA96" s="60">
        <f t="shared" si="13"/>
        <v>6080</v>
      </c>
    </row>
    <row r="97" spans="1:27">
      <c r="A97" s="83" t="str">
        <f t="shared" si="7"/>
        <v>44500A-NYwht</v>
      </c>
      <c r="B97" s="83" t="str">
        <f t="shared" si="8"/>
        <v>06-081-17</v>
      </c>
      <c r="C97" s="106" t="s">
        <v>1175</v>
      </c>
      <c r="D97" s="106" t="s">
        <v>1176</v>
      </c>
      <c r="E97" s="106" t="s">
        <v>788</v>
      </c>
      <c r="F97" s="107">
        <v>0</v>
      </c>
      <c r="G97" s="106" t="s">
        <v>1177</v>
      </c>
      <c r="H97" s="106" t="s">
        <v>57</v>
      </c>
      <c r="I97" s="106" t="s">
        <v>786</v>
      </c>
      <c r="J97" s="106" t="s">
        <v>327</v>
      </c>
      <c r="K97" s="106" t="s">
        <v>382</v>
      </c>
      <c r="L97" s="106" t="s">
        <v>865</v>
      </c>
      <c r="M97" s="106" t="s">
        <v>388</v>
      </c>
      <c r="N97" s="106" t="s">
        <v>43</v>
      </c>
      <c r="O97" s="106" t="s">
        <v>386</v>
      </c>
      <c r="P97" s="106" t="s">
        <v>866</v>
      </c>
      <c r="Q97" s="106" t="s">
        <v>1178</v>
      </c>
      <c r="R97" s="106" t="s">
        <v>57</v>
      </c>
      <c r="S97" s="83" t="str">
        <f t="shared" si="9"/>
        <v>44500A-NY</v>
      </c>
      <c r="T97" s="83" t="str">
        <f t="shared" si="10"/>
        <v>New York</v>
      </c>
      <c r="Y97" s="60">
        <f t="shared" si="11"/>
        <v>6</v>
      </c>
      <c r="Z97" s="49">
        <f t="shared" si="12"/>
        <v>81</v>
      </c>
      <c r="AA97" s="60">
        <f t="shared" si="13"/>
        <v>6081</v>
      </c>
    </row>
    <row r="98" spans="1:27">
      <c r="A98" s="83" t="str">
        <f t="shared" si="7"/>
        <v>44700B-LOSAivbk</v>
      </c>
      <c r="B98" s="83" t="str">
        <f t="shared" si="8"/>
        <v>06-082-36</v>
      </c>
      <c r="C98" s="106" t="s">
        <v>1179</v>
      </c>
      <c r="D98" s="106" t="s">
        <v>1180</v>
      </c>
      <c r="E98" s="106" t="s">
        <v>788</v>
      </c>
      <c r="F98" s="107">
        <v>0</v>
      </c>
      <c r="G98" s="106" t="s">
        <v>1181</v>
      </c>
      <c r="H98" s="106" t="s">
        <v>51</v>
      </c>
      <c r="I98" s="106" t="s">
        <v>786</v>
      </c>
      <c r="J98" s="106" t="s">
        <v>327</v>
      </c>
      <c r="K98" s="106" t="s">
        <v>382</v>
      </c>
      <c r="L98" s="106" t="s">
        <v>865</v>
      </c>
      <c r="M98" s="106" t="s">
        <v>388</v>
      </c>
      <c r="N98" s="106" t="s">
        <v>43</v>
      </c>
      <c r="O98" s="106" t="s">
        <v>541</v>
      </c>
      <c r="P98" s="106" t="s">
        <v>866</v>
      </c>
      <c r="Q98" s="106" t="s">
        <v>1122</v>
      </c>
      <c r="R98" s="106" t="s">
        <v>63</v>
      </c>
      <c r="S98" s="83" t="str">
        <f t="shared" si="9"/>
        <v>44700B-LOSA</v>
      </c>
      <c r="T98" s="83" t="str">
        <f t="shared" si="10"/>
        <v>Los Angeles</v>
      </c>
      <c r="Y98" s="60">
        <f t="shared" si="11"/>
        <v>6</v>
      </c>
      <c r="Z98" s="49">
        <f t="shared" si="12"/>
        <v>82</v>
      </c>
      <c r="AA98" s="60">
        <f t="shared" si="13"/>
        <v>6082</v>
      </c>
    </row>
    <row r="99" spans="1:27">
      <c r="A99" s="83" t="str">
        <f t="shared" si="7"/>
        <v>44730A-NASAgron</v>
      </c>
      <c r="B99" s="83" t="str">
        <f t="shared" si="8"/>
        <v>06-083-78</v>
      </c>
      <c r="C99" s="106" t="s">
        <v>1182</v>
      </c>
      <c r="D99" s="106" t="s">
        <v>1183</v>
      </c>
      <c r="E99" s="106" t="s">
        <v>788</v>
      </c>
      <c r="F99" s="107">
        <v>0</v>
      </c>
      <c r="G99" s="106" t="s">
        <v>1184</v>
      </c>
      <c r="H99" s="106" t="s">
        <v>259</v>
      </c>
      <c r="I99" s="106" t="s">
        <v>1034</v>
      </c>
      <c r="J99" s="106" t="s">
        <v>356</v>
      </c>
      <c r="K99" s="106" t="s">
        <v>382</v>
      </c>
      <c r="L99" s="106" t="s">
        <v>873</v>
      </c>
      <c r="M99" s="106" t="s">
        <v>388</v>
      </c>
      <c r="N99" s="106" t="s">
        <v>43</v>
      </c>
      <c r="O99" s="106" t="s">
        <v>386</v>
      </c>
      <c r="P99" s="106" t="s">
        <v>866</v>
      </c>
      <c r="Q99" s="106" t="s">
        <v>1185</v>
      </c>
      <c r="R99" s="106" t="s">
        <v>71</v>
      </c>
      <c r="S99" s="83" t="str">
        <f t="shared" si="9"/>
        <v>44730A-NASA</v>
      </c>
      <c r="T99" s="83" t="str">
        <f t="shared" si="10"/>
        <v>Space with NASA Roughage</v>
      </c>
      <c r="Y99" s="60">
        <f t="shared" si="11"/>
        <v>6</v>
      </c>
      <c r="Z99" s="49">
        <f t="shared" si="12"/>
        <v>83</v>
      </c>
      <c r="AA99" s="60">
        <f t="shared" si="13"/>
        <v>6083</v>
      </c>
    </row>
    <row r="100" spans="1:27">
      <c r="A100" s="83" t="str">
        <f t="shared" si="7"/>
        <v>44730A-NASAinr</v>
      </c>
      <c r="B100" s="83" t="str">
        <f t="shared" si="8"/>
        <v>06-083-72</v>
      </c>
      <c r="C100" s="106" t="s">
        <v>1186</v>
      </c>
      <c r="D100" s="106" t="s">
        <v>1187</v>
      </c>
      <c r="E100" s="106" t="s">
        <v>788</v>
      </c>
      <c r="F100" s="107">
        <v>0</v>
      </c>
      <c r="G100" s="106" t="s">
        <v>1184</v>
      </c>
      <c r="H100" s="106" t="s">
        <v>302</v>
      </c>
      <c r="I100" s="106" t="s">
        <v>1034</v>
      </c>
      <c r="J100" s="106" t="s">
        <v>356</v>
      </c>
      <c r="K100" s="106" t="s">
        <v>382</v>
      </c>
      <c r="L100" s="106" t="s">
        <v>1090</v>
      </c>
      <c r="M100" s="106" t="s">
        <v>388</v>
      </c>
      <c r="N100" s="106" t="s">
        <v>43</v>
      </c>
      <c r="O100" s="106" t="s">
        <v>386</v>
      </c>
      <c r="P100" s="106" t="s">
        <v>866</v>
      </c>
      <c r="Q100" s="106" t="s">
        <v>1188</v>
      </c>
      <c r="R100" s="106" t="s">
        <v>53</v>
      </c>
      <c r="S100" s="83" t="str">
        <f t="shared" si="9"/>
        <v>44730A-NASA</v>
      </c>
      <c r="T100" s="83" t="str">
        <f t="shared" si="10"/>
        <v>Space with NASA Roughage</v>
      </c>
      <c r="Y100" s="60">
        <f t="shared" si="11"/>
        <v>6</v>
      </c>
      <c r="Z100" s="49">
        <f t="shared" si="12"/>
        <v>83</v>
      </c>
      <c r="AA100" s="60">
        <f t="shared" si="13"/>
        <v>6083</v>
      </c>
    </row>
    <row r="101" spans="1:27">
      <c r="A101" s="83" t="str">
        <f t="shared" si="7"/>
        <v>44740A-ANAbldr</v>
      </c>
      <c r="B101" s="83" t="str">
        <f t="shared" si="8"/>
        <v>06-084-72</v>
      </c>
      <c r="C101" s="106" t="s">
        <v>1189</v>
      </c>
      <c r="D101" s="106" t="s">
        <v>1190</v>
      </c>
      <c r="E101" s="106" t="s">
        <v>788</v>
      </c>
      <c r="F101" s="107">
        <v>0</v>
      </c>
      <c r="G101" s="106" t="s">
        <v>1191</v>
      </c>
      <c r="H101" s="106" t="s">
        <v>302</v>
      </c>
      <c r="I101" s="106" t="s">
        <v>786</v>
      </c>
      <c r="J101" s="106" t="s">
        <v>327</v>
      </c>
      <c r="K101" s="106" t="s">
        <v>382</v>
      </c>
      <c r="L101" s="106" t="s">
        <v>884</v>
      </c>
      <c r="M101" s="106" t="s">
        <v>388</v>
      </c>
      <c r="N101" s="106" t="s">
        <v>43</v>
      </c>
      <c r="O101" s="106" t="s">
        <v>541</v>
      </c>
      <c r="P101" s="106" t="s">
        <v>866</v>
      </c>
      <c r="Q101" s="106" t="s">
        <v>1192</v>
      </c>
      <c r="R101" s="106" t="s">
        <v>53</v>
      </c>
      <c r="S101" s="83" t="str">
        <f t="shared" si="9"/>
        <v>44740A-ANA</v>
      </c>
      <c r="T101" s="83" t="str">
        <f t="shared" si="10"/>
        <v>Anaheim Aces Archive MILB</v>
      </c>
      <c r="Y101" s="60">
        <f t="shared" si="11"/>
        <v>6</v>
      </c>
      <c r="Z101" s="49">
        <f t="shared" si="12"/>
        <v>84</v>
      </c>
      <c r="AA101" s="60">
        <f t="shared" si="13"/>
        <v>6084</v>
      </c>
    </row>
    <row r="102" spans="1:27">
      <c r="A102" s="83" t="str">
        <f t="shared" si="7"/>
        <v>44740A-ASEnavy</v>
      </c>
      <c r="B102" s="83" t="str">
        <f t="shared" si="8"/>
        <v>06-085-16</v>
      </c>
      <c r="C102" s="106" t="s">
        <v>1193</v>
      </c>
      <c r="D102" s="106" t="s">
        <v>1194</v>
      </c>
      <c r="E102" s="106" t="s">
        <v>788</v>
      </c>
      <c r="F102" s="107">
        <v>0</v>
      </c>
      <c r="G102" s="106" t="s">
        <v>1195</v>
      </c>
      <c r="H102" s="106" t="s">
        <v>55</v>
      </c>
      <c r="I102" s="106" t="s">
        <v>786</v>
      </c>
      <c r="J102" s="106" t="s">
        <v>327</v>
      </c>
      <c r="K102" s="106" t="s">
        <v>382</v>
      </c>
      <c r="L102" s="106" t="s">
        <v>884</v>
      </c>
      <c r="M102" s="106" t="s">
        <v>388</v>
      </c>
      <c r="N102" s="106" t="s">
        <v>43</v>
      </c>
      <c r="O102" s="106" t="s">
        <v>541</v>
      </c>
      <c r="P102" s="106" t="s">
        <v>866</v>
      </c>
      <c r="Q102" s="106" t="s">
        <v>818</v>
      </c>
      <c r="R102" s="106" t="s">
        <v>71</v>
      </c>
      <c r="S102" s="83" t="str">
        <f t="shared" si="9"/>
        <v>44740A-ASE</v>
      </c>
      <c r="T102" s="83" t="str">
        <f t="shared" si="10"/>
        <v>Austin Senators Archive MILB</v>
      </c>
      <c r="Y102" s="60">
        <f t="shared" si="11"/>
        <v>6</v>
      </c>
      <c r="Z102" s="49">
        <f t="shared" si="12"/>
        <v>85</v>
      </c>
      <c r="AA102" s="60">
        <f t="shared" si="13"/>
        <v>6085</v>
      </c>
    </row>
    <row r="103" spans="1:27">
      <c r="A103" s="83" t="str">
        <f t="shared" si="7"/>
        <v>44740A-BSHdgrn</v>
      </c>
      <c r="B103" s="83" t="str">
        <f t="shared" si="8"/>
        <v>06-086-11</v>
      </c>
      <c r="C103" s="106" t="s">
        <v>1196</v>
      </c>
      <c r="D103" s="106" t="s">
        <v>1197</v>
      </c>
      <c r="E103" s="106" t="s">
        <v>788</v>
      </c>
      <c r="F103" s="107">
        <v>0</v>
      </c>
      <c r="G103" s="106" t="s">
        <v>1198</v>
      </c>
      <c r="H103" s="106" t="s">
        <v>60</v>
      </c>
      <c r="I103" s="106" t="s">
        <v>786</v>
      </c>
      <c r="J103" s="106" t="s">
        <v>327</v>
      </c>
      <c r="K103" s="106" t="s">
        <v>382</v>
      </c>
      <c r="L103" s="106" t="s">
        <v>884</v>
      </c>
      <c r="M103" s="106" t="s">
        <v>388</v>
      </c>
      <c r="N103" s="106" t="s">
        <v>43</v>
      </c>
      <c r="O103" s="106" t="s">
        <v>541</v>
      </c>
      <c r="P103" s="106" t="s">
        <v>866</v>
      </c>
      <c r="Q103" s="106" t="s">
        <v>1199</v>
      </c>
      <c r="R103" s="106" t="s">
        <v>60</v>
      </c>
      <c r="S103" s="83" t="str">
        <f t="shared" si="9"/>
        <v>44740A-BSH</v>
      </c>
      <c r="T103" s="83" t="str">
        <f t="shared" si="10"/>
        <v>Boston Shamrocks Archive MILB</v>
      </c>
      <c r="Y103" s="60">
        <f t="shared" si="11"/>
        <v>6</v>
      </c>
      <c r="Z103" s="49">
        <f t="shared" si="12"/>
        <v>86</v>
      </c>
      <c r="AA103" s="60">
        <f t="shared" si="13"/>
        <v>6086</v>
      </c>
    </row>
    <row r="104" spans="1:27">
      <c r="A104" s="83" t="str">
        <f t="shared" si="7"/>
        <v>44740A-DAUblk</v>
      </c>
      <c r="B104" s="83" t="str">
        <f t="shared" si="8"/>
        <v>06-087-09</v>
      </c>
      <c r="C104" s="106" t="s">
        <v>1200</v>
      </c>
      <c r="D104" s="106" t="s">
        <v>1201</v>
      </c>
      <c r="E104" s="106" t="s">
        <v>788</v>
      </c>
      <c r="F104" s="107">
        <v>0</v>
      </c>
      <c r="G104" s="106" t="s">
        <v>1202</v>
      </c>
      <c r="H104" s="106" t="s">
        <v>53</v>
      </c>
      <c r="I104" s="106" t="s">
        <v>786</v>
      </c>
      <c r="J104" s="106" t="s">
        <v>327</v>
      </c>
      <c r="K104" s="106" t="s">
        <v>382</v>
      </c>
      <c r="L104" s="106" t="s">
        <v>884</v>
      </c>
      <c r="M104" s="106" t="s">
        <v>388</v>
      </c>
      <c r="N104" s="106" t="s">
        <v>43</v>
      </c>
      <c r="O104" s="106" t="s">
        <v>541</v>
      </c>
      <c r="P104" s="106" t="s">
        <v>866</v>
      </c>
      <c r="Q104" s="106" t="s">
        <v>843</v>
      </c>
      <c r="R104" s="106" t="s">
        <v>53</v>
      </c>
      <c r="S104" s="83" t="str">
        <f t="shared" si="9"/>
        <v>44740A-DAU</v>
      </c>
      <c r="T104" s="83" t="str">
        <f t="shared" si="10"/>
        <v>Daiei Unions Archive NLB</v>
      </c>
      <c r="Y104" s="60">
        <f t="shared" si="11"/>
        <v>6</v>
      </c>
      <c r="Z104" s="49">
        <f t="shared" si="12"/>
        <v>87</v>
      </c>
      <c r="AA104" s="60">
        <f t="shared" si="13"/>
        <v>6087</v>
      </c>
    </row>
    <row r="105" spans="1:27">
      <c r="A105" s="83" t="str">
        <f t="shared" si="7"/>
        <v>44740A-HBUnavy</v>
      </c>
      <c r="B105" s="83" t="str">
        <f t="shared" si="8"/>
        <v>06-088-16</v>
      </c>
      <c r="C105" s="106" t="s">
        <v>1203</v>
      </c>
      <c r="D105" s="106" t="s">
        <v>1204</v>
      </c>
      <c r="E105" s="106" t="s">
        <v>788</v>
      </c>
      <c r="F105" s="107">
        <v>0</v>
      </c>
      <c r="G105" s="106" t="s">
        <v>1205</v>
      </c>
      <c r="H105" s="106" t="s">
        <v>55</v>
      </c>
      <c r="I105" s="106" t="s">
        <v>786</v>
      </c>
      <c r="J105" s="106" t="s">
        <v>327</v>
      </c>
      <c r="K105" s="106" t="s">
        <v>382</v>
      </c>
      <c r="L105" s="106" t="s">
        <v>884</v>
      </c>
      <c r="M105" s="106" t="s">
        <v>388</v>
      </c>
      <c r="N105" s="106" t="s">
        <v>43</v>
      </c>
      <c r="O105" s="106" t="s">
        <v>541</v>
      </c>
      <c r="P105" s="106" t="s">
        <v>866</v>
      </c>
      <c r="Q105" s="106" t="s">
        <v>818</v>
      </c>
      <c r="R105" s="106" t="s">
        <v>71</v>
      </c>
      <c r="S105" s="83" t="str">
        <f t="shared" si="9"/>
        <v>44740A-HBU</v>
      </c>
      <c r="T105" s="83" t="str">
        <f t="shared" si="10"/>
        <v>Houston Buffalos Archive TLB</v>
      </c>
      <c r="Y105" s="60">
        <f t="shared" si="11"/>
        <v>6</v>
      </c>
      <c r="Z105" s="49">
        <f t="shared" si="12"/>
        <v>88</v>
      </c>
      <c r="AA105" s="60">
        <f t="shared" si="13"/>
        <v>6088</v>
      </c>
    </row>
    <row r="106" spans="1:27">
      <c r="A106" s="83" t="str">
        <f t="shared" si="7"/>
        <v>44740A-KCKnavy</v>
      </c>
      <c r="B106" s="83" t="str">
        <f t="shared" si="8"/>
        <v>06-089-16</v>
      </c>
      <c r="C106" s="106" t="s">
        <v>1206</v>
      </c>
      <c r="D106" s="106" t="s">
        <v>1207</v>
      </c>
      <c r="E106" s="106" t="s">
        <v>788</v>
      </c>
      <c r="F106" s="107">
        <v>0</v>
      </c>
      <c r="G106" s="106" t="s">
        <v>1208</v>
      </c>
      <c r="H106" s="106" t="s">
        <v>55</v>
      </c>
      <c r="I106" s="106" t="s">
        <v>786</v>
      </c>
      <c r="J106" s="106" t="s">
        <v>327</v>
      </c>
      <c r="K106" s="106" t="s">
        <v>382</v>
      </c>
      <c r="L106" s="106" t="s">
        <v>893</v>
      </c>
      <c r="M106" s="106" t="s">
        <v>388</v>
      </c>
      <c r="N106" s="106" t="s">
        <v>43</v>
      </c>
      <c r="O106" s="106" t="s">
        <v>541</v>
      </c>
      <c r="P106" s="106" t="s">
        <v>866</v>
      </c>
      <c r="Q106" s="106" t="s">
        <v>818</v>
      </c>
      <c r="R106" s="106" t="s">
        <v>71</v>
      </c>
      <c r="S106" s="83" t="str">
        <f t="shared" si="9"/>
        <v>44740A-KCK</v>
      </c>
      <c r="T106" s="83" t="str">
        <f t="shared" si="10"/>
        <v>Kansas City Katz Archive MILB</v>
      </c>
      <c r="Y106" s="60">
        <f t="shared" si="11"/>
        <v>6</v>
      </c>
      <c r="Z106" s="49">
        <f t="shared" si="12"/>
        <v>89</v>
      </c>
      <c r="AA106" s="60">
        <f t="shared" si="13"/>
        <v>6089</v>
      </c>
    </row>
    <row r="107" spans="1:27">
      <c r="A107" s="83" t="str">
        <f t="shared" si="7"/>
        <v>44740A-LAJblk</v>
      </c>
      <c r="B107" s="83" t="str">
        <f t="shared" si="8"/>
        <v>06-090-09</v>
      </c>
      <c r="C107" s="106" t="s">
        <v>1209</v>
      </c>
      <c r="D107" s="106" t="s">
        <v>1210</v>
      </c>
      <c r="E107" s="106" t="s">
        <v>788</v>
      </c>
      <c r="F107" s="107">
        <v>0</v>
      </c>
      <c r="G107" s="106" t="s">
        <v>1211</v>
      </c>
      <c r="H107" s="106" t="s">
        <v>53</v>
      </c>
      <c r="I107" s="106" t="s">
        <v>786</v>
      </c>
      <c r="J107" s="106" t="s">
        <v>327</v>
      </c>
      <c r="K107" s="106" t="s">
        <v>382</v>
      </c>
      <c r="L107" s="106" t="s">
        <v>884</v>
      </c>
      <c r="M107" s="106" t="s">
        <v>388</v>
      </c>
      <c r="N107" s="106" t="s">
        <v>43</v>
      </c>
      <c r="O107" s="106" t="s">
        <v>541</v>
      </c>
      <c r="P107" s="106" t="s">
        <v>866</v>
      </c>
      <c r="Q107" s="106" t="s">
        <v>843</v>
      </c>
      <c r="R107" s="106" t="s">
        <v>53</v>
      </c>
      <c r="S107" s="83" t="str">
        <f t="shared" si="9"/>
        <v>44740A-LAJ</v>
      </c>
      <c r="T107" s="83" t="str">
        <f t="shared" si="10"/>
        <v>Los Angeles Jets Archive ABL</v>
      </c>
      <c r="Y107" s="60">
        <f t="shared" si="11"/>
        <v>6</v>
      </c>
      <c r="Z107" s="49">
        <f t="shared" si="12"/>
        <v>90</v>
      </c>
      <c r="AA107" s="60">
        <f t="shared" si="13"/>
        <v>6090</v>
      </c>
    </row>
    <row r="108" spans="1:27">
      <c r="A108" s="83" t="str">
        <f t="shared" si="7"/>
        <v>44740A-LSTblk</v>
      </c>
      <c r="B108" s="83" t="str">
        <f t="shared" si="8"/>
        <v>06-091-09</v>
      </c>
      <c r="C108" s="106" t="s">
        <v>1212</v>
      </c>
      <c r="D108" s="106" t="s">
        <v>1213</v>
      </c>
      <c r="E108" s="106" t="s">
        <v>788</v>
      </c>
      <c r="F108" s="107">
        <v>0</v>
      </c>
      <c r="G108" s="106" t="s">
        <v>1214</v>
      </c>
      <c r="H108" s="106" t="s">
        <v>53</v>
      </c>
      <c r="I108" s="106" t="s">
        <v>786</v>
      </c>
      <c r="J108" s="106" t="s">
        <v>327</v>
      </c>
      <c r="K108" s="106" t="s">
        <v>382</v>
      </c>
      <c r="L108" s="106" t="s">
        <v>884</v>
      </c>
      <c r="M108" s="106" t="s">
        <v>388</v>
      </c>
      <c r="N108" s="106" t="s">
        <v>43</v>
      </c>
      <c r="O108" s="106" t="s">
        <v>541</v>
      </c>
      <c r="P108" s="106" t="s">
        <v>866</v>
      </c>
      <c r="Q108" s="106" t="s">
        <v>843</v>
      </c>
      <c r="R108" s="106" t="s">
        <v>53</v>
      </c>
      <c r="S108" s="83" t="str">
        <f t="shared" si="9"/>
        <v>44740A-LST</v>
      </c>
      <c r="T108" s="83" t="str">
        <f t="shared" si="10"/>
        <v>Las Vegas Stars Archive MILB</v>
      </c>
      <c r="Y108" s="60">
        <f t="shared" si="11"/>
        <v>6</v>
      </c>
      <c r="Z108" s="49">
        <f t="shared" si="12"/>
        <v>91</v>
      </c>
      <c r="AA108" s="60">
        <f t="shared" si="13"/>
        <v>6091</v>
      </c>
    </row>
    <row r="109" spans="1:27">
      <c r="A109" s="83" t="str">
        <f t="shared" si="7"/>
        <v>44740A-WHAnavb</v>
      </c>
      <c r="B109" s="83" t="str">
        <f t="shared" si="8"/>
        <v>06-092-16</v>
      </c>
      <c r="C109" s="106" t="s">
        <v>1215</v>
      </c>
      <c r="D109" s="106" t="s">
        <v>1216</v>
      </c>
      <c r="E109" s="106" t="s">
        <v>788</v>
      </c>
      <c r="F109" s="107">
        <v>0</v>
      </c>
      <c r="G109" s="106" t="s">
        <v>1217</v>
      </c>
      <c r="H109" s="106" t="s">
        <v>55</v>
      </c>
      <c r="I109" s="106" t="s">
        <v>786</v>
      </c>
      <c r="J109" s="106" t="s">
        <v>327</v>
      </c>
      <c r="K109" s="106" t="s">
        <v>382</v>
      </c>
      <c r="L109" s="106" t="s">
        <v>884</v>
      </c>
      <c r="M109" s="106" t="s">
        <v>388</v>
      </c>
      <c r="N109" s="106" t="s">
        <v>43</v>
      </c>
      <c r="O109" s="106" t="s">
        <v>541</v>
      </c>
      <c r="P109" s="106" t="s">
        <v>866</v>
      </c>
      <c r="Q109" s="106" t="s">
        <v>1218</v>
      </c>
      <c r="R109" s="106" t="s">
        <v>71</v>
      </c>
      <c r="S109" s="83" t="str">
        <f t="shared" si="9"/>
        <v>44740A-WHA</v>
      </c>
      <c r="T109" s="83" t="str">
        <f t="shared" si="10"/>
        <v>Chicago Whales Archive MILB</v>
      </c>
      <c r="Y109" s="60">
        <f t="shared" si="11"/>
        <v>6</v>
      </c>
      <c r="Z109" s="49">
        <f t="shared" si="12"/>
        <v>92</v>
      </c>
      <c r="AA109" s="60">
        <f t="shared" si="13"/>
        <v>6092</v>
      </c>
    </row>
    <row r="110" spans="1:27">
      <c r="A110" s="83" t="str">
        <f t="shared" si="7"/>
        <v>44742A-NYAnvdr</v>
      </c>
      <c r="B110" s="83" t="str">
        <f t="shared" si="8"/>
        <v>06-093-16</v>
      </c>
      <c r="C110" s="106" t="s">
        <v>1219</v>
      </c>
      <c r="D110" s="106" t="s">
        <v>1220</v>
      </c>
      <c r="E110" s="106" t="s">
        <v>788</v>
      </c>
      <c r="F110" s="107">
        <v>0</v>
      </c>
      <c r="G110" s="106" t="s">
        <v>1221</v>
      </c>
      <c r="H110" s="106" t="s">
        <v>55</v>
      </c>
      <c r="I110" s="106" t="s">
        <v>786</v>
      </c>
      <c r="J110" s="106" t="s">
        <v>327</v>
      </c>
      <c r="K110" s="106" t="s">
        <v>382</v>
      </c>
      <c r="L110" s="106" t="s">
        <v>884</v>
      </c>
      <c r="M110" s="106" t="s">
        <v>388</v>
      </c>
      <c r="N110" s="106" t="s">
        <v>43</v>
      </c>
      <c r="O110" s="106" t="s">
        <v>541</v>
      </c>
      <c r="P110" s="106" t="s">
        <v>866</v>
      </c>
      <c r="Q110" s="106" t="s">
        <v>1222</v>
      </c>
      <c r="R110" s="106" t="s">
        <v>71</v>
      </c>
      <c r="S110" s="83" t="str">
        <f t="shared" si="9"/>
        <v>44742A-NYA</v>
      </c>
      <c r="T110" s="83" t="str">
        <f t="shared" si="10"/>
        <v>New York Americans Archive NHL</v>
      </c>
      <c r="Y110" s="60">
        <f t="shared" si="11"/>
        <v>6</v>
      </c>
      <c r="Z110" s="49">
        <f t="shared" si="12"/>
        <v>93</v>
      </c>
      <c r="AA110" s="60">
        <f t="shared" si="13"/>
        <v>6093</v>
      </c>
    </row>
    <row r="111" spans="1:27">
      <c r="A111" s="83" t="str">
        <f t="shared" si="7"/>
        <v>44742A-OASblk</v>
      </c>
      <c r="B111" s="83" t="str">
        <f t="shared" si="8"/>
        <v>06-094-09</v>
      </c>
      <c r="C111" s="106" t="s">
        <v>1223</v>
      </c>
      <c r="D111" s="106" t="s">
        <v>1224</v>
      </c>
      <c r="E111" s="106" t="s">
        <v>788</v>
      </c>
      <c r="F111" s="107">
        <v>0</v>
      </c>
      <c r="G111" s="106" t="s">
        <v>1225</v>
      </c>
      <c r="H111" s="106" t="s">
        <v>53</v>
      </c>
      <c r="I111" s="106" t="s">
        <v>786</v>
      </c>
      <c r="J111" s="106" t="s">
        <v>327</v>
      </c>
      <c r="K111" s="106" t="s">
        <v>382</v>
      </c>
      <c r="L111" s="106" t="s">
        <v>893</v>
      </c>
      <c r="M111" s="106" t="s">
        <v>388</v>
      </c>
      <c r="N111" s="106" t="s">
        <v>43</v>
      </c>
      <c r="O111" s="106" t="s">
        <v>541</v>
      </c>
      <c r="P111" s="106" t="s">
        <v>866</v>
      </c>
      <c r="Q111" s="106" t="s">
        <v>843</v>
      </c>
      <c r="R111" s="106" t="s">
        <v>53</v>
      </c>
      <c r="S111" s="83" t="str">
        <f t="shared" si="9"/>
        <v>44742A-OAS</v>
      </c>
      <c r="T111" s="83" t="str">
        <f t="shared" si="10"/>
        <v>Oakland Seals Archive NHL</v>
      </c>
      <c r="Y111" s="60">
        <f t="shared" si="11"/>
        <v>6</v>
      </c>
      <c r="Z111" s="49">
        <f t="shared" si="12"/>
        <v>94</v>
      </c>
      <c r="AA111" s="60">
        <f t="shared" si="13"/>
        <v>6094</v>
      </c>
    </row>
    <row r="112" spans="1:27">
      <c r="A112" s="83" t="str">
        <f t="shared" si="7"/>
        <v>44747A-CNTnavy</v>
      </c>
      <c r="B112" s="83" t="str">
        <f t="shared" si="8"/>
        <v>06-095-16</v>
      </c>
      <c r="C112" s="106" t="s">
        <v>1226</v>
      </c>
      <c r="D112" s="106" t="s">
        <v>1227</v>
      </c>
      <c r="E112" s="106" t="s">
        <v>788</v>
      </c>
      <c r="F112" s="107">
        <v>0</v>
      </c>
      <c r="G112" s="106" t="s">
        <v>1228</v>
      </c>
      <c r="H112" s="106" t="s">
        <v>55</v>
      </c>
      <c r="I112" s="106" t="s">
        <v>786</v>
      </c>
      <c r="J112" s="106" t="s">
        <v>327</v>
      </c>
      <c r="K112" s="106" t="s">
        <v>382</v>
      </c>
      <c r="L112" s="106" t="s">
        <v>884</v>
      </c>
      <c r="M112" s="106" t="s">
        <v>388</v>
      </c>
      <c r="N112" s="106" t="s">
        <v>43</v>
      </c>
      <c r="O112" s="106" t="s">
        <v>541</v>
      </c>
      <c r="P112" s="106" t="s">
        <v>866</v>
      </c>
      <c r="Q112" s="106" t="s">
        <v>818</v>
      </c>
      <c r="R112" s="106" t="s">
        <v>71</v>
      </c>
      <c r="S112" s="83" t="str">
        <f t="shared" si="9"/>
        <v>44747A-CNT</v>
      </c>
      <c r="T112" s="83" t="str">
        <f t="shared" si="10"/>
        <v>Cincinnati Tigers Archive NL</v>
      </c>
      <c r="Y112" s="60">
        <f t="shared" si="11"/>
        <v>6</v>
      </c>
      <c r="Z112" s="49">
        <f t="shared" si="12"/>
        <v>95</v>
      </c>
      <c r="AA112" s="60">
        <f t="shared" si="13"/>
        <v>6095</v>
      </c>
    </row>
    <row r="113" spans="1:27">
      <c r="A113" s="83" t="str">
        <f t="shared" si="7"/>
        <v>44747A-MMLblor</v>
      </c>
      <c r="B113" s="83" t="str">
        <f t="shared" si="8"/>
        <v>06-096-05</v>
      </c>
      <c r="C113" s="106" t="s">
        <v>1229</v>
      </c>
      <c r="D113" s="106" t="s">
        <v>1230</v>
      </c>
      <c r="E113" s="106" t="s">
        <v>788</v>
      </c>
      <c r="F113" s="107">
        <v>0</v>
      </c>
      <c r="G113" s="106" t="s">
        <v>1231</v>
      </c>
      <c r="H113" s="106" t="s">
        <v>277</v>
      </c>
      <c r="I113" s="106" t="s">
        <v>786</v>
      </c>
      <c r="J113" s="106" t="s">
        <v>327</v>
      </c>
      <c r="K113" s="106" t="s">
        <v>382</v>
      </c>
      <c r="L113" s="106" t="s">
        <v>893</v>
      </c>
      <c r="M113" s="106" t="s">
        <v>388</v>
      </c>
      <c r="N113" s="106" t="s">
        <v>43</v>
      </c>
      <c r="O113" s="106" t="s">
        <v>541</v>
      </c>
      <c r="P113" s="106" t="s">
        <v>866</v>
      </c>
      <c r="Q113" s="106" t="s">
        <v>932</v>
      </c>
      <c r="R113" s="106" t="s">
        <v>83</v>
      </c>
      <c r="S113" s="83" t="str">
        <f t="shared" si="9"/>
        <v>44747A-MML</v>
      </c>
      <c r="T113" s="83" t="str">
        <f t="shared" si="10"/>
        <v>Minneapolis Millers Archive MILB</v>
      </c>
      <c r="Y113" s="60">
        <f t="shared" si="11"/>
        <v>6</v>
      </c>
      <c r="Z113" s="49">
        <f t="shared" si="12"/>
        <v>96</v>
      </c>
      <c r="AA113" s="60">
        <f t="shared" si="13"/>
        <v>6096</v>
      </c>
    </row>
    <row r="114" spans="1:27">
      <c r="A114" s="83" t="str">
        <f t="shared" si="7"/>
        <v>44747A-POBnavy</v>
      </c>
      <c r="B114" s="83" t="str">
        <f t="shared" si="8"/>
        <v>06-097-16</v>
      </c>
      <c r="C114" s="106" t="s">
        <v>1232</v>
      </c>
      <c r="D114" s="106" t="s">
        <v>1233</v>
      </c>
      <c r="E114" s="106" t="s">
        <v>788</v>
      </c>
      <c r="F114" s="107">
        <v>0</v>
      </c>
      <c r="G114" s="106" t="s">
        <v>1234</v>
      </c>
      <c r="H114" s="106" t="s">
        <v>55</v>
      </c>
      <c r="I114" s="106" t="s">
        <v>786</v>
      </c>
      <c r="J114" s="106" t="s">
        <v>327</v>
      </c>
      <c r="K114" s="106" t="s">
        <v>382</v>
      </c>
      <c r="L114" s="106" t="s">
        <v>893</v>
      </c>
      <c r="M114" s="106" t="s">
        <v>388</v>
      </c>
      <c r="N114" s="106" t="s">
        <v>43</v>
      </c>
      <c r="O114" s="106" t="s">
        <v>541</v>
      </c>
      <c r="P114" s="106" t="s">
        <v>866</v>
      </c>
      <c r="Q114" s="106" t="s">
        <v>818</v>
      </c>
      <c r="R114" s="106" t="s">
        <v>71</v>
      </c>
      <c r="S114" s="83" t="str">
        <f t="shared" si="9"/>
        <v>44747A-POB</v>
      </c>
      <c r="T114" s="83" t="str">
        <f t="shared" si="10"/>
        <v>Portland Beavers Archive MILB</v>
      </c>
      <c r="Y114" s="60">
        <f t="shared" si="11"/>
        <v>6</v>
      </c>
      <c r="Z114" s="49">
        <f t="shared" si="12"/>
        <v>97</v>
      </c>
      <c r="AA114" s="60">
        <f t="shared" si="13"/>
        <v>6097</v>
      </c>
    </row>
    <row r="115" spans="1:27">
      <c r="A115" s="83" t="str">
        <f t="shared" si="7"/>
        <v>44747B-POBgynv</v>
      </c>
      <c r="B115" s="83" t="str">
        <f t="shared" si="8"/>
        <v>06-098-26</v>
      </c>
      <c r="C115" s="106" t="s">
        <v>1235</v>
      </c>
      <c r="D115" s="106" t="s">
        <v>1236</v>
      </c>
      <c r="E115" s="106" t="s">
        <v>788</v>
      </c>
      <c r="F115" s="107">
        <v>0</v>
      </c>
      <c r="G115" s="106" t="s">
        <v>1237</v>
      </c>
      <c r="H115" s="106" t="s">
        <v>245</v>
      </c>
      <c r="I115" s="106" t="s">
        <v>786</v>
      </c>
      <c r="J115" s="106" t="s">
        <v>327</v>
      </c>
      <c r="K115" s="106" t="s">
        <v>382</v>
      </c>
      <c r="L115" s="106" t="s">
        <v>893</v>
      </c>
      <c r="M115" s="106" t="s">
        <v>388</v>
      </c>
      <c r="N115" s="106" t="s">
        <v>43</v>
      </c>
      <c r="O115" s="106" t="s">
        <v>541</v>
      </c>
      <c r="P115" s="106" t="s">
        <v>866</v>
      </c>
      <c r="Q115" s="106" t="s">
        <v>1238</v>
      </c>
      <c r="R115" s="106" t="s">
        <v>83</v>
      </c>
      <c r="S115" s="83" t="str">
        <f t="shared" si="9"/>
        <v>44747B-POB</v>
      </c>
      <c r="T115" s="83" t="str">
        <f t="shared" si="10"/>
        <v>Portland Beavers Archive MILB</v>
      </c>
      <c r="Y115" s="60">
        <f t="shared" si="11"/>
        <v>6</v>
      </c>
      <c r="Z115" s="49">
        <f t="shared" si="12"/>
        <v>98</v>
      </c>
      <c r="AA115" s="60">
        <f t="shared" si="13"/>
        <v>6098</v>
      </c>
    </row>
    <row r="116" spans="1:27">
      <c r="A116" s="83" t="str">
        <f t="shared" si="7"/>
        <v>44747B-SERdki</v>
      </c>
      <c r="B116" s="83" t="str">
        <f t="shared" si="8"/>
        <v>06-099-18</v>
      </c>
      <c r="C116" s="106" t="s">
        <v>1239</v>
      </c>
      <c r="D116" s="106" t="s">
        <v>1240</v>
      </c>
      <c r="E116" s="106" t="s">
        <v>788</v>
      </c>
      <c r="F116" s="107">
        <v>0</v>
      </c>
      <c r="G116" s="106" t="s">
        <v>1241</v>
      </c>
      <c r="H116" s="106" t="s">
        <v>78</v>
      </c>
      <c r="I116" s="106" t="s">
        <v>786</v>
      </c>
      <c r="J116" s="106" t="s">
        <v>327</v>
      </c>
      <c r="K116" s="106" t="s">
        <v>382</v>
      </c>
      <c r="L116" s="106" t="s">
        <v>893</v>
      </c>
      <c r="M116" s="106" t="s">
        <v>388</v>
      </c>
      <c r="N116" s="106" t="s">
        <v>43</v>
      </c>
      <c r="O116" s="106" t="s">
        <v>541</v>
      </c>
      <c r="P116" s="106" t="s">
        <v>866</v>
      </c>
      <c r="Q116" s="106" t="s">
        <v>1242</v>
      </c>
      <c r="R116" s="106" t="s">
        <v>78</v>
      </c>
      <c r="S116" s="83" t="str">
        <f t="shared" si="9"/>
        <v>44747B-SER</v>
      </c>
      <c r="T116" s="83" t="str">
        <f t="shared" si="10"/>
        <v>Seattle Rainers Archive MILB</v>
      </c>
      <c r="Y116" s="60">
        <f t="shared" si="11"/>
        <v>6</v>
      </c>
      <c r="Z116" s="49">
        <f t="shared" si="12"/>
        <v>99</v>
      </c>
      <c r="AA116" s="60">
        <f t="shared" si="13"/>
        <v>6099</v>
      </c>
    </row>
    <row r="117" spans="1:27">
      <c r="A117" s="83" t="str">
        <f t="shared" si="7"/>
        <v>44810A-CALIblse</v>
      </c>
      <c r="B117" s="83" t="str">
        <f t="shared" si="8"/>
        <v>06-100-70</v>
      </c>
      <c r="C117" s="106" t="s">
        <v>1243</v>
      </c>
      <c r="D117" s="106" t="s">
        <v>1244</v>
      </c>
      <c r="E117" s="106" t="s">
        <v>788</v>
      </c>
      <c r="F117" s="107">
        <v>0</v>
      </c>
      <c r="G117" s="106" t="s">
        <v>1245</v>
      </c>
      <c r="H117" s="106" t="s">
        <v>296</v>
      </c>
      <c r="I117" s="106" t="s">
        <v>786</v>
      </c>
      <c r="J117" s="106" t="s">
        <v>327</v>
      </c>
      <c r="K117" s="106" t="s">
        <v>382</v>
      </c>
      <c r="L117" s="106" t="s">
        <v>865</v>
      </c>
      <c r="M117" s="106" t="s">
        <v>388</v>
      </c>
      <c r="N117" s="106" t="s">
        <v>43</v>
      </c>
      <c r="O117" s="106" t="s">
        <v>386</v>
      </c>
      <c r="P117" s="106" t="s">
        <v>866</v>
      </c>
      <c r="Q117" s="106" t="s">
        <v>1246</v>
      </c>
      <c r="R117" s="106" t="s">
        <v>53</v>
      </c>
      <c r="S117" s="83" t="str">
        <f t="shared" si="9"/>
        <v>44810A-CALI</v>
      </c>
      <c r="T117" s="83" t="str">
        <f t="shared" si="10"/>
        <v>California</v>
      </c>
      <c r="Y117" s="60">
        <f t="shared" si="11"/>
        <v>6</v>
      </c>
      <c r="Z117" s="49">
        <f t="shared" si="12"/>
        <v>100</v>
      </c>
      <c r="AA117" s="60">
        <f t="shared" si="13"/>
        <v>6100</v>
      </c>
    </row>
    <row r="118" spans="1:27">
      <c r="A118" s="83" t="str">
        <f t="shared" si="7"/>
        <v>44820A-NASAnavy</v>
      </c>
      <c r="B118" s="83" t="str">
        <f t="shared" si="8"/>
        <v>06-101-16</v>
      </c>
      <c r="C118" s="106" t="s">
        <v>1247</v>
      </c>
      <c r="D118" s="106" t="s">
        <v>1248</v>
      </c>
      <c r="E118" s="106" t="s">
        <v>788</v>
      </c>
      <c r="F118" s="107">
        <v>0</v>
      </c>
      <c r="G118" s="106" t="s">
        <v>1249</v>
      </c>
      <c r="H118" s="106" t="s">
        <v>55</v>
      </c>
      <c r="I118" s="106" t="s">
        <v>786</v>
      </c>
      <c r="J118" s="106" t="s">
        <v>327</v>
      </c>
      <c r="K118" s="106" t="s">
        <v>382</v>
      </c>
      <c r="L118" s="106" t="s">
        <v>873</v>
      </c>
      <c r="M118" s="106" t="s">
        <v>388</v>
      </c>
      <c r="N118" s="106" t="s">
        <v>43</v>
      </c>
      <c r="O118" s="106" t="s">
        <v>386</v>
      </c>
      <c r="P118" s="106" t="s">
        <v>866</v>
      </c>
      <c r="Q118" s="106" t="s">
        <v>818</v>
      </c>
      <c r="R118" s="106" t="s">
        <v>71</v>
      </c>
      <c r="S118" s="83" t="str">
        <f t="shared" si="9"/>
        <v>44820A-NASA</v>
      </c>
      <c r="T118" s="83" t="str">
        <f t="shared" si="10"/>
        <v>Space with NASA</v>
      </c>
      <c r="Y118" s="60">
        <f t="shared" si="11"/>
        <v>6</v>
      </c>
      <c r="Z118" s="49">
        <f t="shared" si="12"/>
        <v>101</v>
      </c>
      <c r="AA118" s="60">
        <f t="shared" si="13"/>
        <v>6101</v>
      </c>
    </row>
    <row r="119" spans="1:27">
      <c r="A119" s="83" t="str">
        <f t="shared" si="7"/>
        <v>44860A-CALIwht</v>
      </c>
      <c r="B119" s="83" t="str">
        <f t="shared" si="8"/>
        <v>06-102-17</v>
      </c>
      <c r="C119" s="106" t="s">
        <v>1250</v>
      </c>
      <c r="D119" s="106" t="s">
        <v>1251</v>
      </c>
      <c r="E119" s="106" t="s">
        <v>788</v>
      </c>
      <c r="F119" s="107">
        <v>0</v>
      </c>
      <c r="G119" s="106" t="s">
        <v>1252</v>
      </c>
      <c r="H119" s="106" t="s">
        <v>57</v>
      </c>
      <c r="I119" s="106" t="s">
        <v>786</v>
      </c>
      <c r="J119" s="106" t="s">
        <v>327</v>
      </c>
      <c r="K119" s="106" t="s">
        <v>382</v>
      </c>
      <c r="L119" s="106" t="s">
        <v>865</v>
      </c>
      <c r="M119" s="106" t="s">
        <v>388</v>
      </c>
      <c r="N119" s="106" t="s">
        <v>43</v>
      </c>
      <c r="O119" s="106" t="s">
        <v>386</v>
      </c>
      <c r="P119" s="106" t="s">
        <v>866</v>
      </c>
      <c r="Q119" s="106" t="s">
        <v>1178</v>
      </c>
      <c r="R119" s="106" t="s">
        <v>57</v>
      </c>
      <c r="S119" s="83" t="str">
        <f t="shared" si="9"/>
        <v>44860A-CALI</v>
      </c>
      <c r="T119" s="83" t="str">
        <f t="shared" si="10"/>
        <v>California</v>
      </c>
      <c r="Y119" s="60">
        <f t="shared" si="11"/>
        <v>6</v>
      </c>
      <c r="Z119" s="49">
        <f t="shared" si="12"/>
        <v>102</v>
      </c>
      <c r="AA119" s="60">
        <f t="shared" si="13"/>
        <v>6102</v>
      </c>
    </row>
    <row r="120" spans="1:27">
      <c r="A120" s="83" t="str">
        <f t="shared" si="7"/>
        <v>44870A-CALIwbnp</v>
      </c>
      <c r="B120" s="83" t="str">
        <f t="shared" si="8"/>
        <v>06-103-40</v>
      </c>
      <c r="C120" s="106" t="s">
        <v>1253</v>
      </c>
      <c r="D120" s="106" t="s">
        <v>1254</v>
      </c>
      <c r="E120" s="106" t="s">
        <v>788</v>
      </c>
      <c r="F120" s="107">
        <v>0</v>
      </c>
      <c r="G120" s="106" t="s">
        <v>1255</v>
      </c>
      <c r="H120" s="106" t="s">
        <v>307</v>
      </c>
      <c r="I120" s="106" t="s">
        <v>789</v>
      </c>
      <c r="J120" s="106" t="s">
        <v>356</v>
      </c>
      <c r="K120" s="106" t="s">
        <v>382</v>
      </c>
      <c r="L120" s="106" t="s">
        <v>865</v>
      </c>
      <c r="M120" s="106" t="s">
        <v>388</v>
      </c>
      <c r="O120" s="106" t="s">
        <v>386</v>
      </c>
      <c r="P120" s="106" t="s">
        <v>866</v>
      </c>
      <c r="Q120" s="106" t="s">
        <v>1256</v>
      </c>
      <c r="R120" s="106" t="s">
        <v>53</v>
      </c>
      <c r="S120" s="83" t="str">
        <f t="shared" si="9"/>
        <v>44870A-CALI</v>
      </c>
      <c r="T120" s="83" t="str">
        <f t="shared" si="10"/>
        <v>California</v>
      </c>
      <c r="Y120" s="60">
        <f t="shared" si="11"/>
        <v>6</v>
      </c>
      <c r="Z120" s="49">
        <f t="shared" si="12"/>
        <v>103</v>
      </c>
      <c r="AA120" s="60">
        <f t="shared" si="13"/>
        <v>6103</v>
      </c>
    </row>
    <row r="121" spans="1:27">
      <c r="A121" s="83" t="str">
        <f t="shared" si="7"/>
        <v>44890D-CALIblk</v>
      </c>
      <c r="B121" s="83" t="str">
        <f t="shared" si="8"/>
        <v>06-104-09</v>
      </c>
      <c r="C121" s="106" t="s">
        <v>1257</v>
      </c>
      <c r="D121" s="106" t="s">
        <v>1258</v>
      </c>
      <c r="E121" s="106" t="s">
        <v>788</v>
      </c>
      <c r="F121" s="107">
        <v>0</v>
      </c>
      <c r="G121" s="106" t="s">
        <v>1259</v>
      </c>
      <c r="H121" s="106" t="s">
        <v>53</v>
      </c>
      <c r="I121" s="106" t="s">
        <v>789</v>
      </c>
      <c r="J121" s="106" t="s">
        <v>356</v>
      </c>
      <c r="K121" s="106" t="s">
        <v>382</v>
      </c>
      <c r="L121" s="106" t="s">
        <v>865</v>
      </c>
      <c r="M121" s="106" t="s">
        <v>388</v>
      </c>
      <c r="O121" s="106" t="s">
        <v>386</v>
      </c>
      <c r="P121" s="106" t="s">
        <v>866</v>
      </c>
      <c r="Q121" s="106" t="s">
        <v>843</v>
      </c>
      <c r="R121" s="106" t="s">
        <v>53</v>
      </c>
      <c r="S121" s="83" t="str">
        <f t="shared" si="9"/>
        <v>44890D-CALI</v>
      </c>
      <c r="T121" s="83" t="str">
        <f t="shared" si="10"/>
        <v>California</v>
      </c>
      <c r="Y121" s="60">
        <f t="shared" si="11"/>
        <v>6</v>
      </c>
      <c r="Z121" s="49">
        <f t="shared" si="12"/>
        <v>104</v>
      </c>
      <c r="AA121" s="60">
        <f t="shared" si="13"/>
        <v>6104</v>
      </c>
    </row>
    <row r="122" spans="1:27">
      <c r="A122" s="83" t="str">
        <f t="shared" si="7"/>
        <v>44900A-CALIblk</v>
      </c>
      <c r="B122" s="83" t="str">
        <f t="shared" si="8"/>
        <v>06-105-09</v>
      </c>
      <c r="C122" s="106" t="s">
        <v>1260</v>
      </c>
      <c r="D122" s="106" t="s">
        <v>1261</v>
      </c>
      <c r="E122" s="106" t="s">
        <v>788</v>
      </c>
      <c r="F122" s="107">
        <v>0</v>
      </c>
      <c r="G122" s="106" t="s">
        <v>1262</v>
      </c>
      <c r="H122" s="106" t="s">
        <v>53</v>
      </c>
      <c r="I122" s="106" t="s">
        <v>786</v>
      </c>
      <c r="J122" s="106" t="s">
        <v>327</v>
      </c>
      <c r="K122" s="106" t="s">
        <v>382</v>
      </c>
      <c r="L122" s="106" t="s">
        <v>865</v>
      </c>
      <c r="M122" s="106" t="s">
        <v>388</v>
      </c>
      <c r="N122" s="106" t="s">
        <v>43</v>
      </c>
      <c r="O122" s="106" t="s">
        <v>541</v>
      </c>
      <c r="P122" s="106" t="s">
        <v>866</v>
      </c>
      <c r="Q122" s="106" t="s">
        <v>843</v>
      </c>
      <c r="R122" s="106" t="s">
        <v>53</v>
      </c>
      <c r="S122" s="83" t="str">
        <f t="shared" si="9"/>
        <v>44900A-CALI</v>
      </c>
      <c r="T122" s="83" t="str">
        <f t="shared" si="10"/>
        <v>California Replay</v>
      </c>
      <c r="Y122" s="60">
        <f t="shared" si="11"/>
        <v>6</v>
      </c>
      <c r="Z122" s="49">
        <f t="shared" si="12"/>
        <v>105</v>
      </c>
      <c r="AA122" s="60">
        <f t="shared" si="13"/>
        <v>6105</v>
      </c>
    </row>
    <row r="123" spans="1:27">
      <c r="A123" s="83" t="str">
        <f t="shared" si="7"/>
        <v>44900B-CALIsnow</v>
      </c>
      <c r="B123" s="83" t="str">
        <f t="shared" si="8"/>
        <v>06-106-17</v>
      </c>
      <c r="C123" s="106" t="s">
        <v>1263</v>
      </c>
      <c r="D123" s="106" t="s">
        <v>1264</v>
      </c>
      <c r="E123" s="106" t="s">
        <v>788</v>
      </c>
      <c r="F123" s="107">
        <v>0</v>
      </c>
      <c r="G123" s="106" t="s">
        <v>1265</v>
      </c>
      <c r="H123" s="106" t="s">
        <v>57</v>
      </c>
      <c r="I123" s="106" t="s">
        <v>786</v>
      </c>
      <c r="J123" s="106" t="s">
        <v>327</v>
      </c>
      <c r="K123" s="106" t="s">
        <v>382</v>
      </c>
      <c r="L123" s="106" t="s">
        <v>880</v>
      </c>
      <c r="M123" s="106" t="s">
        <v>388</v>
      </c>
      <c r="N123" s="106" t="s">
        <v>43</v>
      </c>
      <c r="O123" s="106" t="s">
        <v>541</v>
      </c>
      <c r="P123" s="106" t="s">
        <v>866</v>
      </c>
      <c r="Q123" s="106" t="s">
        <v>990</v>
      </c>
      <c r="R123" s="106" t="s">
        <v>57</v>
      </c>
      <c r="S123" s="83" t="str">
        <f t="shared" si="9"/>
        <v>44900B-CALI</v>
      </c>
      <c r="T123" s="83" t="str">
        <f t="shared" si="10"/>
        <v>California Replay</v>
      </c>
      <c r="Y123" s="60">
        <f t="shared" si="11"/>
        <v>6</v>
      </c>
      <c r="Z123" s="49">
        <f t="shared" si="12"/>
        <v>106</v>
      </c>
      <c r="AA123" s="60">
        <f t="shared" si="13"/>
        <v>6106</v>
      </c>
    </row>
    <row r="124" spans="1:27">
      <c r="A124" s="83" t="str">
        <f t="shared" si="7"/>
        <v>44910A-NASAnavy</v>
      </c>
      <c r="B124" s="83" t="str">
        <f t="shared" si="8"/>
        <v>06-107-16</v>
      </c>
      <c r="C124" s="106" t="s">
        <v>1266</v>
      </c>
      <c r="D124" s="106" t="s">
        <v>1267</v>
      </c>
      <c r="E124" s="106" t="s">
        <v>788</v>
      </c>
      <c r="F124" s="107">
        <v>0</v>
      </c>
      <c r="G124" s="106" t="s">
        <v>1268</v>
      </c>
      <c r="H124" s="106" t="s">
        <v>55</v>
      </c>
      <c r="I124" s="106" t="s">
        <v>786</v>
      </c>
      <c r="J124" s="106" t="s">
        <v>327</v>
      </c>
      <c r="K124" s="106" t="s">
        <v>382</v>
      </c>
      <c r="L124" s="106" t="s">
        <v>1090</v>
      </c>
      <c r="M124" s="106" t="s">
        <v>388</v>
      </c>
      <c r="N124" s="106" t="s">
        <v>43</v>
      </c>
      <c r="O124" s="106" t="s">
        <v>386</v>
      </c>
      <c r="P124" s="106" t="s">
        <v>866</v>
      </c>
      <c r="Q124" s="106" t="s">
        <v>818</v>
      </c>
      <c r="R124" s="106" t="s">
        <v>71</v>
      </c>
      <c r="S124" s="83" t="str">
        <f t="shared" si="9"/>
        <v>44910A-NASA</v>
      </c>
      <c r="T124" s="83" t="str">
        <f t="shared" si="10"/>
        <v>Apollo 50 years</v>
      </c>
      <c r="Y124" s="60">
        <f t="shared" si="11"/>
        <v>6</v>
      </c>
      <c r="Z124" s="49">
        <f t="shared" si="12"/>
        <v>107</v>
      </c>
      <c r="AA124" s="60">
        <f t="shared" si="13"/>
        <v>6107</v>
      </c>
    </row>
    <row r="125" spans="1:27">
      <c r="A125" s="83" t="str">
        <f t="shared" si="7"/>
        <v>44910A-NASAsteg</v>
      </c>
      <c r="B125" s="83" t="str">
        <f t="shared" si="8"/>
        <v>06-107-08</v>
      </c>
      <c r="C125" s="106" t="s">
        <v>1269</v>
      </c>
      <c r="D125" s="106" t="s">
        <v>1270</v>
      </c>
      <c r="E125" s="106" t="s">
        <v>788</v>
      </c>
      <c r="F125" s="107">
        <v>0</v>
      </c>
      <c r="G125" s="106" t="s">
        <v>1268</v>
      </c>
      <c r="H125" s="106" t="s">
        <v>83</v>
      </c>
      <c r="I125" s="106" t="s">
        <v>786</v>
      </c>
      <c r="J125" s="106" t="s">
        <v>327</v>
      </c>
      <c r="K125" s="106" t="s">
        <v>382</v>
      </c>
      <c r="L125" s="106" t="s">
        <v>1090</v>
      </c>
      <c r="M125" s="106" t="s">
        <v>388</v>
      </c>
      <c r="N125" s="106" t="s">
        <v>43</v>
      </c>
      <c r="O125" s="106" t="s">
        <v>386</v>
      </c>
      <c r="P125" s="106" t="s">
        <v>866</v>
      </c>
      <c r="Q125" s="106" t="s">
        <v>1271</v>
      </c>
      <c r="R125" s="106" t="s">
        <v>83</v>
      </c>
      <c r="S125" s="83" t="str">
        <f t="shared" si="9"/>
        <v>44910A-NASA</v>
      </c>
      <c r="T125" s="83" t="str">
        <f t="shared" si="10"/>
        <v>Apollo 50 years</v>
      </c>
      <c r="Y125" s="60">
        <f t="shared" si="11"/>
        <v>6</v>
      </c>
      <c r="Z125" s="49">
        <f t="shared" si="12"/>
        <v>107</v>
      </c>
      <c r="AA125" s="60">
        <f t="shared" si="13"/>
        <v>6107</v>
      </c>
    </row>
    <row r="126" spans="1:27">
      <c r="A126" s="83" t="str">
        <f t="shared" si="7"/>
        <v>44940A-NASAblk</v>
      </c>
      <c r="B126" s="83" t="str">
        <f t="shared" si="8"/>
        <v>06-108-09</v>
      </c>
      <c r="C126" s="106" t="s">
        <v>1272</v>
      </c>
      <c r="D126" s="106" t="s">
        <v>1273</v>
      </c>
      <c r="E126" s="106" t="s">
        <v>788</v>
      </c>
      <c r="F126" s="107">
        <v>0</v>
      </c>
      <c r="G126" s="106" t="s">
        <v>1274</v>
      </c>
      <c r="H126" s="106" t="s">
        <v>53</v>
      </c>
      <c r="I126" s="106" t="s">
        <v>786</v>
      </c>
      <c r="J126" s="106" t="s">
        <v>327</v>
      </c>
      <c r="K126" s="106" t="s">
        <v>382</v>
      </c>
      <c r="L126" s="106" t="s">
        <v>1090</v>
      </c>
      <c r="M126" s="106" t="s">
        <v>388</v>
      </c>
      <c r="N126" s="106" t="s">
        <v>43</v>
      </c>
      <c r="O126" s="106" t="s">
        <v>386</v>
      </c>
      <c r="P126" s="106" t="s">
        <v>866</v>
      </c>
      <c r="Q126" s="106" t="s">
        <v>843</v>
      </c>
      <c r="R126" s="106" t="s">
        <v>53</v>
      </c>
      <c r="S126" s="83" t="str">
        <f t="shared" si="9"/>
        <v>44940A-NASA</v>
      </c>
      <c r="T126" s="83" t="str">
        <f t="shared" si="10"/>
        <v>Space with NASA</v>
      </c>
      <c r="Y126" s="60">
        <f t="shared" si="11"/>
        <v>6</v>
      </c>
      <c r="Z126" s="49">
        <f t="shared" si="12"/>
        <v>108</v>
      </c>
      <c r="AA126" s="60">
        <f t="shared" si="13"/>
        <v>6108</v>
      </c>
    </row>
    <row r="127" spans="1:27">
      <c r="A127" s="83" t="str">
        <f t="shared" si="7"/>
        <v>44970A-CALIspfa</v>
      </c>
      <c r="B127" s="83" t="str">
        <f t="shared" si="8"/>
        <v>06-109-64</v>
      </c>
      <c r="C127" s="106" t="s">
        <v>1275</v>
      </c>
      <c r="D127" s="106" t="s">
        <v>1276</v>
      </c>
      <c r="E127" s="106" t="s">
        <v>788</v>
      </c>
      <c r="F127" s="107">
        <v>0</v>
      </c>
      <c r="G127" s="106" t="s">
        <v>1277</v>
      </c>
      <c r="H127" s="106" t="s">
        <v>244</v>
      </c>
      <c r="I127" s="106" t="s">
        <v>786</v>
      </c>
      <c r="J127" s="106" t="s">
        <v>327</v>
      </c>
      <c r="K127" s="106" t="s">
        <v>382</v>
      </c>
      <c r="L127" s="106" t="s">
        <v>1090</v>
      </c>
      <c r="M127" s="106" t="s">
        <v>388</v>
      </c>
      <c r="N127" s="106" t="s">
        <v>43</v>
      </c>
      <c r="O127" s="106" t="s">
        <v>386</v>
      </c>
      <c r="P127" s="106" t="s">
        <v>866</v>
      </c>
      <c r="Q127" s="106" t="s">
        <v>1278</v>
      </c>
      <c r="R127" s="106" t="s">
        <v>83</v>
      </c>
      <c r="S127" s="83" t="str">
        <f t="shared" si="9"/>
        <v>44970A-CALI</v>
      </c>
      <c r="T127" s="83" t="str">
        <f t="shared" si="10"/>
        <v>California</v>
      </c>
      <c r="Y127" s="60">
        <f t="shared" si="11"/>
        <v>6</v>
      </c>
      <c r="Z127" s="49">
        <f t="shared" si="12"/>
        <v>109</v>
      </c>
      <c r="AA127" s="60">
        <f t="shared" si="13"/>
        <v>6109</v>
      </c>
    </row>
    <row r="128" spans="1:27">
      <c r="A128" s="83" t="str">
        <f t="shared" si="7"/>
        <v>45000A-NASApblu</v>
      </c>
      <c r="B128" s="83" t="str">
        <f t="shared" si="8"/>
        <v>06-110-19</v>
      </c>
      <c r="C128" s="106" t="s">
        <v>1279</v>
      </c>
      <c r="D128" s="106" t="s">
        <v>1280</v>
      </c>
      <c r="E128" s="106" t="s">
        <v>788</v>
      </c>
      <c r="F128" s="107">
        <v>0</v>
      </c>
      <c r="G128" s="106" t="s">
        <v>1281</v>
      </c>
      <c r="H128" s="106" t="s">
        <v>91</v>
      </c>
      <c r="I128" s="106" t="s">
        <v>1282</v>
      </c>
      <c r="J128" s="106" t="s">
        <v>327</v>
      </c>
      <c r="K128" s="106" t="s">
        <v>382</v>
      </c>
      <c r="L128" s="106" t="s">
        <v>1090</v>
      </c>
      <c r="M128" s="106" t="s">
        <v>388</v>
      </c>
      <c r="N128" s="106" t="s">
        <v>43</v>
      </c>
      <c r="O128" s="106" t="s">
        <v>386</v>
      </c>
      <c r="P128" s="106" t="s">
        <v>866</v>
      </c>
      <c r="Q128" s="106" t="s">
        <v>1283</v>
      </c>
      <c r="R128" s="106" t="s">
        <v>91</v>
      </c>
      <c r="S128" s="83" t="str">
        <f t="shared" si="9"/>
        <v>45000A-NASA</v>
      </c>
      <c r="T128" s="83" t="str">
        <f t="shared" si="10"/>
        <v>Space with NASA</v>
      </c>
      <c r="Y128" s="60">
        <f t="shared" si="11"/>
        <v>6</v>
      </c>
      <c r="Z128" s="49">
        <f t="shared" si="12"/>
        <v>110</v>
      </c>
      <c r="AA128" s="60">
        <f t="shared" si="13"/>
        <v>6110</v>
      </c>
    </row>
    <row r="129" spans="1:27">
      <c r="A129" s="83" t="str">
        <f t="shared" si="7"/>
        <v>45010A-CALIcamo</v>
      </c>
      <c r="B129" s="83" t="str">
        <f t="shared" si="8"/>
        <v>06-111-56</v>
      </c>
      <c r="C129" s="106" t="s">
        <v>1284</v>
      </c>
      <c r="D129" s="106" t="s">
        <v>1285</v>
      </c>
      <c r="E129" s="106" t="s">
        <v>788</v>
      </c>
      <c r="F129" s="107">
        <v>0</v>
      </c>
      <c r="G129" s="106" t="s">
        <v>1286</v>
      </c>
      <c r="H129" s="106" t="s">
        <v>290</v>
      </c>
      <c r="I129" s="106" t="s">
        <v>840</v>
      </c>
      <c r="J129" s="106" t="s">
        <v>325</v>
      </c>
      <c r="K129" s="106" t="s">
        <v>382</v>
      </c>
      <c r="L129" s="106" t="s">
        <v>880</v>
      </c>
      <c r="M129" s="106" t="s">
        <v>388</v>
      </c>
      <c r="N129" s="106" t="s">
        <v>43</v>
      </c>
      <c r="O129" s="106" t="s">
        <v>541</v>
      </c>
      <c r="P129" s="106" t="s">
        <v>866</v>
      </c>
      <c r="Q129" s="106" t="s">
        <v>842</v>
      </c>
      <c r="R129" s="106" t="s">
        <v>195</v>
      </c>
      <c r="S129" s="83" t="str">
        <f t="shared" si="9"/>
        <v>45010A-CALI</v>
      </c>
      <c r="T129" s="83" t="str">
        <f t="shared" si="10"/>
        <v>California Twill</v>
      </c>
      <c r="Y129" s="60">
        <f t="shared" si="11"/>
        <v>6</v>
      </c>
      <c r="Z129" s="49">
        <f t="shared" si="12"/>
        <v>111</v>
      </c>
      <c r="AA129" s="60">
        <f t="shared" si="13"/>
        <v>6111</v>
      </c>
    </row>
    <row r="130" spans="1:27">
      <c r="A130" s="83" t="str">
        <f t="shared" si="7"/>
        <v>45010A-CALIcamo</v>
      </c>
      <c r="B130" s="83" t="str">
        <f t="shared" si="8"/>
        <v>06-111-56</v>
      </c>
      <c r="C130" s="106" t="s">
        <v>1287</v>
      </c>
      <c r="D130" s="106" t="s">
        <v>1285</v>
      </c>
      <c r="E130" s="106" t="s">
        <v>791</v>
      </c>
      <c r="F130" s="107">
        <v>56</v>
      </c>
      <c r="G130" s="106" t="s">
        <v>1286</v>
      </c>
      <c r="H130" s="106" t="s">
        <v>290</v>
      </c>
      <c r="I130" s="106" t="s">
        <v>840</v>
      </c>
      <c r="J130" s="106" t="s">
        <v>325</v>
      </c>
      <c r="K130" s="106" t="s">
        <v>382</v>
      </c>
      <c r="L130" s="106" t="s">
        <v>880</v>
      </c>
      <c r="M130" s="106" t="s">
        <v>388</v>
      </c>
      <c r="N130" s="106" t="s">
        <v>43</v>
      </c>
      <c r="O130" s="106" t="s">
        <v>541</v>
      </c>
      <c r="P130" s="106" t="s">
        <v>866</v>
      </c>
      <c r="Q130" s="106" t="s">
        <v>842</v>
      </c>
      <c r="R130" s="106" t="s">
        <v>195</v>
      </c>
      <c r="S130" s="83" t="str">
        <f t="shared" si="9"/>
        <v>45010A-CALI</v>
      </c>
      <c r="T130" s="83" t="str">
        <f t="shared" si="10"/>
        <v>California Twill</v>
      </c>
      <c r="Y130" s="60">
        <f t="shared" si="11"/>
        <v>6</v>
      </c>
      <c r="Z130" s="49">
        <f t="shared" si="12"/>
        <v>111</v>
      </c>
      <c r="AA130" s="60">
        <f t="shared" si="13"/>
        <v>6111</v>
      </c>
    </row>
    <row r="131" spans="1:27">
      <c r="A131" s="83" t="str">
        <f t="shared" ref="A131:A194" si="14">IF(G131&amp;Q131&lt;&gt;"",S131&amp;Q131,"")</f>
        <v>45010A-CALIcamo</v>
      </c>
      <c r="B131" s="83" t="str">
        <f t="shared" ref="B131:B194" si="15">IF(C131&lt;&gt;"",LEFT(C131,9),"")</f>
        <v>06-111-56</v>
      </c>
      <c r="C131" s="106" t="s">
        <v>1288</v>
      </c>
      <c r="D131" s="106" t="s">
        <v>1285</v>
      </c>
      <c r="E131" s="106" t="s">
        <v>829</v>
      </c>
      <c r="F131" s="107">
        <v>60</v>
      </c>
      <c r="G131" s="106" t="s">
        <v>1286</v>
      </c>
      <c r="H131" s="106" t="s">
        <v>290</v>
      </c>
      <c r="I131" s="106" t="s">
        <v>840</v>
      </c>
      <c r="J131" s="106" t="s">
        <v>325</v>
      </c>
      <c r="K131" s="106" t="s">
        <v>382</v>
      </c>
      <c r="L131" s="106" t="s">
        <v>880</v>
      </c>
      <c r="M131" s="106" t="s">
        <v>388</v>
      </c>
      <c r="N131" s="106" t="s">
        <v>43</v>
      </c>
      <c r="O131" s="106" t="s">
        <v>541</v>
      </c>
      <c r="P131" s="106" t="s">
        <v>866</v>
      </c>
      <c r="Q131" s="106" t="s">
        <v>842</v>
      </c>
      <c r="R131" s="106" t="s">
        <v>195</v>
      </c>
      <c r="S131" s="83" t="str">
        <f t="shared" ref="S131:S194" si="16">IF(G131&lt;&gt;"",IF(StyleSpaceSplit,IFERROR(IF(FIND(" ",G131)&gt;=1,MID(G131,1,FIND(" ",G131)-1),G131),G131),G131),"")</f>
        <v>45010A-CALI</v>
      </c>
      <c r="T131" s="83" t="str">
        <f t="shared" ref="T131:T194" si="17">IF(A131&lt;&gt;"",IFERROR(IF(FIND(" ",G131)&gt;=1,MID(G131,FIND(" ",G131)+1,LEN(G131)),""),G131),"")</f>
        <v>California Twill</v>
      </c>
      <c r="Y131" s="60">
        <f t="shared" ref="Y131:Y194" si="18">IFERROR(VALUE(MID($C131,1,2)),0)</f>
        <v>6</v>
      </c>
      <c r="Z131" s="49">
        <f t="shared" ref="Z131:Z194" si="19">IFERROR(VALUE(MID($C131,4,3)),0)</f>
        <v>111</v>
      </c>
      <c r="AA131" s="60">
        <f t="shared" ref="AA131:AA194" si="20">VALUE(RIGHT("00"&amp;Y131,2)&amp;RIGHT("000"&amp;Z131,3))</f>
        <v>6111</v>
      </c>
    </row>
    <row r="132" spans="1:27">
      <c r="A132" s="83" t="str">
        <f t="shared" si="14"/>
        <v>45020A-CALIblk</v>
      </c>
      <c r="B132" s="83" t="str">
        <f t="shared" si="15"/>
        <v>06-112-09</v>
      </c>
      <c r="C132" s="106" t="s">
        <v>1289</v>
      </c>
      <c r="D132" s="106" t="s">
        <v>1290</v>
      </c>
      <c r="E132" s="106" t="s">
        <v>788</v>
      </c>
      <c r="F132" s="107">
        <v>0</v>
      </c>
      <c r="G132" s="106" t="s">
        <v>1291</v>
      </c>
      <c r="H132" s="106" t="s">
        <v>53</v>
      </c>
      <c r="I132" s="106" t="s">
        <v>786</v>
      </c>
      <c r="J132" s="106" t="s">
        <v>327</v>
      </c>
      <c r="K132" s="106" t="s">
        <v>382</v>
      </c>
      <c r="L132" s="106" t="s">
        <v>880</v>
      </c>
      <c r="M132" s="106" t="s">
        <v>388</v>
      </c>
      <c r="N132" s="106" t="s">
        <v>43</v>
      </c>
      <c r="O132" s="106" t="s">
        <v>386</v>
      </c>
      <c r="P132" s="106" t="s">
        <v>866</v>
      </c>
      <c r="Q132" s="106" t="s">
        <v>843</v>
      </c>
      <c r="R132" s="106" t="s">
        <v>53</v>
      </c>
      <c r="S132" s="83" t="str">
        <f t="shared" si="16"/>
        <v>45020A-CALI</v>
      </c>
      <c r="T132" s="83" t="str">
        <f t="shared" si="17"/>
        <v>California Conrad</v>
      </c>
      <c r="Y132" s="60">
        <f t="shared" si="18"/>
        <v>6</v>
      </c>
      <c r="Z132" s="49">
        <f t="shared" si="19"/>
        <v>112</v>
      </c>
      <c r="AA132" s="60">
        <f t="shared" si="20"/>
        <v>6112</v>
      </c>
    </row>
    <row r="133" spans="1:27">
      <c r="A133" s="83" t="str">
        <f t="shared" si="14"/>
        <v>45030A-NASAblk</v>
      </c>
      <c r="B133" s="83" t="str">
        <f t="shared" si="15"/>
        <v>06-113-09</v>
      </c>
      <c r="C133" s="106" t="s">
        <v>1292</v>
      </c>
      <c r="D133" s="106" t="s">
        <v>1293</v>
      </c>
      <c r="E133" s="106" t="s">
        <v>788</v>
      </c>
      <c r="F133" s="107">
        <v>0</v>
      </c>
      <c r="G133" s="106" t="s">
        <v>1294</v>
      </c>
      <c r="H133" s="106" t="s">
        <v>53</v>
      </c>
      <c r="I133" s="106" t="s">
        <v>786</v>
      </c>
      <c r="J133" s="106" t="s">
        <v>327</v>
      </c>
      <c r="K133" s="106" t="s">
        <v>382</v>
      </c>
      <c r="L133" s="106" t="s">
        <v>873</v>
      </c>
      <c r="M133" s="106" t="s">
        <v>388</v>
      </c>
      <c r="N133" s="106" t="s">
        <v>43</v>
      </c>
      <c r="O133" s="106" t="s">
        <v>386</v>
      </c>
      <c r="P133" s="106" t="s">
        <v>866</v>
      </c>
      <c r="Q133" s="106" t="s">
        <v>843</v>
      </c>
      <c r="R133" s="106" t="s">
        <v>53</v>
      </c>
      <c r="S133" s="83" t="str">
        <f t="shared" si="16"/>
        <v>45030A-NASA</v>
      </c>
      <c r="T133" s="83" t="str">
        <f t="shared" si="17"/>
        <v>Space with NASA General</v>
      </c>
      <c r="Y133" s="60">
        <f t="shared" si="18"/>
        <v>6</v>
      </c>
      <c r="Z133" s="49">
        <f t="shared" si="19"/>
        <v>113</v>
      </c>
      <c r="AA133" s="60">
        <f t="shared" si="20"/>
        <v>6113</v>
      </c>
    </row>
    <row r="134" spans="1:27">
      <c r="A134" s="83" t="str">
        <f t="shared" si="14"/>
        <v>45060A-CAblk</v>
      </c>
      <c r="B134" s="83" t="str">
        <f t="shared" si="15"/>
        <v>06-114-09</v>
      </c>
      <c r="C134" s="106" t="s">
        <v>1295</v>
      </c>
      <c r="D134" s="106" t="s">
        <v>1296</v>
      </c>
      <c r="E134" s="106" t="s">
        <v>788</v>
      </c>
      <c r="F134" s="107">
        <v>0</v>
      </c>
      <c r="G134" s="106" t="s">
        <v>1297</v>
      </c>
      <c r="H134" s="106" t="s">
        <v>53</v>
      </c>
      <c r="I134" s="106" t="s">
        <v>786</v>
      </c>
      <c r="J134" s="106" t="s">
        <v>327</v>
      </c>
      <c r="K134" s="106" t="s">
        <v>382</v>
      </c>
      <c r="L134" s="106" t="s">
        <v>865</v>
      </c>
      <c r="M134" s="106" t="s">
        <v>388</v>
      </c>
      <c r="N134" s="106" t="s">
        <v>43</v>
      </c>
      <c r="O134" s="106" t="s">
        <v>386</v>
      </c>
      <c r="P134" s="106" t="s">
        <v>866</v>
      </c>
      <c r="Q134" s="106" t="s">
        <v>843</v>
      </c>
      <c r="R134" s="106" t="s">
        <v>53</v>
      </c>
      <c r="S134" s="83" t="str">
        <f t="shared" si="16"/>
        <v>45060A-CA</v>
      </c>
      <c r="T134" s="83" t="str">
        <f t="shared" si="17"/>
        <v>California Surplus</v>
      </c>
      <c r="Y134" s="60">
        <f t="shared" si="18"/>
        <v>6</v>
      </c>
      <c r="Z134" s="49">
        <f t="shared" si="19"/>
        <v>114</v>
      </c>
      <c r="AA134" s="60">
        <f t="shared" si="20"/>
        <v>6114</v>
      </c>
    </row>
    <row r="135" spans="1:27">
      <c r="A135" s="83" t="str">
        <f t="shared" si="14"/>
        <v>45060A-NASAblk</v>
      </c>
      <c r="B135" s="83" t="str">
        <f t="shared" si="15"/>
        <v>06-115-09</v>
      </c>
      <c r="C135" s="106" t="s">
        <v>1298</v>
      </c>
      <c r="D135" s="106" t="s">
        <v>1299</v>
      </c>
      <c r="E135" s="106" t="s">
        <v>788</v>
      </c>
      <c r="F135" s="107">
        <v>0</v>
      </c>
      <c r="G135" s="106" t="s">
        <v>1300</v>
      </c>
      <c r="H135" s="106" t="s">
        <v>53</v>
      </c>
      <c r="I135" s="106" t="s">
        <v>786</v>
      </c>
      <c r="J135" s="106" t="s">
        <v>327</v>
      </c>
      <c r="K135" s="106" t="s">
        <v>382</v>
      </c>
      <c r="L135" s="106" t="s">
        <v>873</v>
      </c>
      <c r="M135" s="106" t="s">
        <v>388</v>
      </c>
      <c r="N135" s="106" t="s">
        <v>43</v>
      </c>
      <c r="O135" s="106" t="s">
        <v>386</v>
      </c>
      <c r="P135" s="106" t="s">
        <v>866</v>
      </c>
      <c r="Q135" s="106" t="s">
        <v>843</v>
      </c>
      <c r="R135" s="106" t="s">
        <v>53</v>
      </c>
      <c r="S135" s="83" t="str">
        <f t="shared" si="16"/>
        <v>45060A-NASA</v>
      </c>
      <c r="T135" s="83" t="str">
        <f t="shared" si="17"/>
        <v>Space with NASA Surplus</v>
      </c>
      <c r="Y135" s="60">
        <f t="shared" si="18"/>
        <v>6</v>
      </c>
      <c r="Z135" s="49">
        <f t="shared" si="19"/>
        <v>115</v>
      </c>
      <c r="AA135" s="60">
        <f t="shared" si="20"/>
        <v>6115</v>
      </c>
    </row>
    <row r="136" spans="1:27">
      <c r="A136" s="83" t="str">
        <f t="shared" si="14"/>
        <v>GM-1904Ablk</v>
      </c>
      <c r="B136" s="83" t="str">
        <f t="shared" si="15"/>
        <v>06-116-09</v>
      </c>
      <c r="C136" s="106" t="s">
        <v>1301</v>
      </c>
      <c r="D136" s="106" t="s">
        <v>1302</v>
      </c>
      <c r="E136" s="106" t="s">
        <v>788</v>
      </c>
      <c r="F136" s="107">
        <v>0</v>
      </c>
      <c r="G136" s="106" t="s">
        <v>1303</v>
      </c>
      <c r="H136" s="106" t="s">
        <v>53</v>
      </c>
      <c r="I136" s="106" t="s">
        <v>786</v>
      </c>
      <c r="J136" s="106" t="s">
        <v>327</v>
      </c>
      <c r="K136" s="106" t="s">
        <v>382</v>
      </c>
      <c r="L136" s="106" t="s">
        <v>1304</v>
      </c>
      <c r="M136" s="106" t="s">
        <v>388</v>
      </c>
      <c r="N136" s="106" t="s">
        <v>43</v>
      </c>
      <c r="O136" s="106" t="s">
        <v>541</v>
      </c>
      <c r="P136" s="106" t="s">
        <v>866</v>
      </c>
      <c r="Q136" s="106" t="s">
        <v>843</v>
      </c>
      <c r="R136" s="106" t="s">
        <v>53</v>
      </c>
      <c r="S136" s="83" t="str">
        <f t="shared" si="16"/>
        <v>GM-1904A</v>
      </c>
      <c r="T136" s="83" t="str">
        <f t="shared" si="17"/>
        <v>Firebird</v>
      </c>
      <c r="Y136" s="60">
        <f t="shared" si="18"/>
        <v>6</v>
      </c>
      <c r="Z136" s="49">
        <f t="shared" si="19"/>
        <v>116</v>
      </c>
      <c r="AA136" s="60">
        <f t="shared" si="20"/>
        <v>6116</v>
      </c>
    </row>
    <row r="137" spans="1:27">
      <c r="A137" s="83" t="str">
        <f t="shared" si="14"/>
        <v>GM-1908Ainvy</v>
      </c>
      <c r="B137" s="83" t="str">
        <f t="shared" si="15"/>
        <v>06-117-36</v>
      </c>
      <c r="C137" s="106" t="s">
        <v>1305</v>
      </c>
      <c r="D137" s="106" t="s">
        <v>1306</v>
      </c>
      <c r="E137" s="106" t="s">
        <v>788</v>
      </c>
      <c r="F137" s="107">
        <v>0</v>
      </c>
      <c r="G137" s="106" t="s">
        <v>1307</v>
      </c>
      <c r="H137" s="106" t="s">
        <v>685</v>
      </c>
      <c r="I137" s="106" t="s">
        <v>786</v>
      </c>
      <c r="J137" s="106" t="s">
        <v>327</v>
      </c>
      <c r="K137" s="106" t="s">
        <v>382</v>
      </c>
      <c r="L137" s="106" t="s">
        <v>1304</v>
      </c>
      <c r="M137" s="106" t="s">
        <v>388</v>
      </c>
      <c r="N137" s="106" t="s">
        <v>43</v>
      </c>
      <c r="O137" s="106" t="s">
        <v>541</v>
      </c>
      <c r="P137" s="106" t="s">
        <v>866</v>
      </c>
      <c r="Q137" s="106" t="s">
        <v>1308</v>
      </c>
      <c r="R137" s="106" t="s">
        <v>63</v>
      </c>
      <c r="S137" s="83" t="str">
        <f t="shared" si="16"/>
        <v>GM-1908A</v>
      </c>
      <c r="T137" s="83" t="str">
        <f t="shared" si="17"/>
        <v>Chevrolet</v>
      </c>
      <c r="Y137" s="60">
        <f t="shared" si="18"/>
        <v>6</v>
      </c>
      <c r="Z137" s="49">
        <f t="shared" si="19"/>
        <v>117</v>
      </c>
      <c r="AA137" s="60">
        <f t="shared" si="20"/>
        <v>6117</v>
      </c>
    </row>
    <row r="138" spans="1:27">
      <c r="A138" s="83" t="str">
        <f t="shared" si="14"/>
        <v>GM-1909Ablk</v>
      </c>
      <c r="B138" s="83" t="str">
        <f t="shared" si="15"/>
        <v>06-118-09</v>
      </c>
      <c r="C138" s="106" t="s">
        <v>1309</v>
      </c>
      <c r="D138" s="106" t="s">
        <v>1310</v>
      </c>
      <c r="E138" s="106" t="s">
        <v>788</v>
      </c>
      <c r="F138" s="107">
        <v>0</v>
      </c>
      <c r="G138" s="106" t="s">
        <v>1311</v>
      </c>
      <c r="H138" s="106" t="s">
        <v>53</v>
      </c>
      <c r="I138" s="106" t="s">
        <v>1027</v>
      </c>
      <c r="J138" s="106" t="s">
        <v>356</v>
      </c>
      <c r="K138" s="106" t="s">
        <v>382</v>
      </c>
      <c r="L138" s="106" t="s">
        <v>1304</v>
      </c>
      <c r="M138" s="106" t="s">
        <v>388</v>
      </c>
      <c r="N138" s="106" t="s">
        <v>43</v>
      </c>
      <c r="O138" s="106" t="s">
        <v>541</v>
      </c>
      <c r="P138" s="106" t="s">
        <v>866</v>
      </c>
      <c r="Q138" s="106" t="s">
        <v>843</v>
      </c>
      <c r="R138" s="106" t="s">
        <v>53</v>
      </c>
      <c r="S138" s="83" t="str">
        <f t="shared" si="16"/>
        <v>GM-1909A</v>
      </c>
      <c r="T138" s="83" t="str">
        <f t="shared" si="17"/>
        <v>Chevrolet</v>
      </c>
      <c r="Y138" s="60">
        <f t="shared" si="18"/>
        <v>6</v>
      </c>
      <c r="Z138" s="49">
        <f t="shared" si="19"/>
        <v>118</v>
      </c>
      <c r="AA138" s="60">
        <f t="shared" si="20"/>
        <v>6118</v>
      </c>
    </row>
    <row r="139" spans="1:27">
      <c r="A139" s="83" t="str">
        <f t="shared" si="14"/>
        <v>GM-1909Bblk</v>
      </c>
      <c r="B139" s="83" t="str">
        <f t="shared" si="15"/>
        <v>06-119-09</v>
      </c>
      <c r="C139" s="106" t="s">
        <v>1312</v>
      </c>
      <c r="D139" s="106" t="s">
        <v>1313</v>
      </c>
      <c r="E139" s="106" t="s">
        <v>788</v>
      </c>
      <c r="F139" s="107">
        <v>0</v>
      </c>
      <c r="G139" s="106" t="s">
        <v>1314</v>
      </c>
      <c r="H139" s="106" t="s">
        <v>53</v>
      </c>
      <c r="I139" s="106" t="s">
        <v>1027</v>
      </c>
      <c r="J139" s="106" t="s">
        <v>356</v>
      </c>
      <c r="K139" s="106" t="s">
        <v>382</v>
      </c>
      <c r="L139" s="106" t="s">
        <v>1304</v>
      </c>
      <c r="M139" s="106" t="s">
        <v>388</v>
      </c>
      <c r="N139" s="106" t="s">
        <v>43</v>
      </c>
      <c r="O139" s="106" t="s">
        <v>541</v>
      </c>
      <c r="P139" s="106" t="s">
        <v>866</v>
      </c>
      <c r="Q139" s="106" t="s">
        <v>843</v>
      </c>
      <c r="R139" s="106" t="s">
        <v>53</v>
      </c>
      <c r="S139" s="83" t="str">
        <f t="shared" si="16"/>
        <v>GM-1909B</v>
      </c>
      <c r="T139" s="83" t="str">
        <f t="shared" si="17"/>
        <v>Cadillac</v>
      </c>
      <c r="Y139" s="60">
        <f t="shared" si="18"/>
        <v>6</v>
      </c>
      <c r="Z139" s="49">
        <f t="shared" si="19"/>
        <v>119</v>
      </c>
      <c r="AA139" s="60">
        <f t="shared" si="20"/>
        <v>6119</v>
      </c>
    </row>
    <row r="140" spans="1:27">
      <c r="A140" s="83" t="str">
        <f t="shared" si="14"/>
        <v>GM-1910Airoy</v>
      </c>
      <c r="B140" s="83" t="str">
        <f t="shared" si="15"/>
        <v>06-120-19</v>
      </c>
      <c r="C140" s="106" t="s">
        <v>1315</v>
      </c>
      <c r="D140" s="106" t="s">
        <v>1316</v>
      </c>
      <c r="E140" s="106" t="s">
        <v>788</v>
      </c>
      <c r="F140" s="107">
        <v>0</v>
      </c>
      <c r="G140" s="106" t="s">
        <v>1317</v>
      </c>
      <c r="H140" s="106" t="s">
        <v>91</v>
      </c>
      <c r="I140" s="106" t="s">
        <v>1027</v>
      </c>
      <c r="J140" s="106" t="s">
        <v>356</v>
      </c>
      <c r="K140" s="106" t="s">
        <v>382</v>
      </c>
      <c r="L140" s="106" t="s">
        <v>1304</v>
      </c>
      <c r="M140" s="106" t="s">
        <v>388</v>
      </c>
      <c r="N140" s="106" t="s">
        <v>1318</v>
      </c>
      <c r="O140" s="106" t="s">
        <v>541</v>
      </c>
      <c r="P140" s="106" t="s">
        <v>866</v>
      </c>
      <c r="Q140" s="106" t="s">
        <v>1319</v>
      </c>
      <c r="R140" s="106" t="s">
        <v>91</v>
      </c>
      <c r="S140" s="83" t="str">
        <f t="shared" si="16"/>
        <v>GM-1910A</v>
      </c>
      <c r="T140" s="83" t="str">
        <f t="shared" si="17"/>
        <v>Chevrolet</v>
      </c>
      <c r="Y140" s="60">
        <f t="shared" si="18"/>
        <v>6</v>
      </c>
      <c r="Z140" s="49">
        <f t="shared" si="19"/>
        <v>120</v>
      </c>
      <c r="AA140" s="60">
        <f t="shared" si="20"/>
        <v>6120</v>
      </c>
    </row>
    <row r="141" spans="1:27">
      <c r="A141" s="83" t="str">
        <f t="shared" si="14"/>
        <v>GM-2002Ainvy</v>
      </c>
      <c r="B141" s="83" t="str">
        <f t="shared" si="15"/>
        <v>06-121-16</v>
      </c>
      <c r="C141" s="106" t="s">
        <v>1320</v>
      </c>
      <c r="D141" s="106" t="s">
        <v>1321</v>
      </c>
      <c r="E141" s="106" t="s">
        <v>788</v>
      </c>
      <c r="F141" s="107">
        <v>0</v>
      </c>
      <c r="G141" s="106" t="s">
        <v>1322</v>
      </c>
      <c r="H141" s="106" t="s">
        <v>55</v>
      </c>
      <c r="I141" s="106" t="s">
        <v>1027</v>
      </c>
      <c r="J141" s="106" t="s">
        <v>356</v>
      </c>
      <c r="K141" s="106" t="s">
        <v>382</v>
      </c>
      <c r="L141" s="106" t="s">
        <v>1304</v>
      </c>
      <c r="M141" s="106" t="s">
        <v>388</v>
      </c>
      <c r="N141" s="106" t="s">
        <v>43</v>
      </c>
      <c r="O141" s="106" t="s">
        <v>386</v>
      </c>
      <c r="P141" s="106" t="s">
        <v>866</v>
      </c>
      <c r="Q141" s="106" t="s">
        <v>1308</v>
      </c>
      <c r="R141" s="106" t="s">
        <v>71</v>
      </c>
      <c r="S141" s="83" t="str">
        <f t="shared" si="16"/>
        <v>GM-2002A</v>
      </c>
      <c r="T141" s="83" t="str">
        <f t="shared" si="17"/>
        <v>Chevrolet</v>
      </c>
      <c r="Y141" s="60">
        <f t="shared" si="18"/>
        <v>6</v>
      </c>
      <c r="Z141" s="49">
        <f t="shared" si="19"/>
        <v>121</v>
      </c>
      <c r="AA141" s="60">
        <f t="shared" si="20"/>
        <v>6121</v>
      </c>
    </row>
    <row r="142" spans="1:27">
      <c r="A142" s="83" t="str">
        <f t="shared" si="14"/>
        <v>GMC-2001Ablk</v>
      </c>
      <c r="B142" s="83" t="str">
        <f t="shared" si="15"/>
        <v>06-122-09</v>
      </c>
      <c r="C142" s="106" t="s">
        <v>1323</v>
      </c>
      <c r="D142" s="106" t="s">
        <v>1324</v>
      </c>
      <c r="E142" s="106" t="s">
        <v>788</v>
      </c>
      <c r="F142" s="107">
        <v>0</v>
      </c>
      <c r="G142" s="106" t="s">
        <v>1325</v>
      </c>
      <c r="H142" s="106" t="s">
        <v>53</v>
      </c>
      <c r="I142" s="106" t="s">
        <v>1027</v>
      </c>
      <c r="J142" s="106" t="s">
        <v>356</v>
      </c>
      <c r="K142" s="106" t="s">
        <v>382</v>
      </c>
      <c r="L142" s="106" t="s">
        <v>1304</v>
      </c>
      <c r="M142" s="106" t="s">
        <v>388</v>
      </c>
      <c r="N142" s="106" t="s">
        <v>43</v>
      </c>
      <c r="O142" s="106" t="s">
        <v>386</v>
      </c>
      <c r="P142" s="106" t="s">
        <v>866</v>
      </c>
      <c r="Q142" s="106" t="s">
        <v>843</v>
      </c>
      <c r="R142" s="106" t="s">
        <v>53</v>
      </c>
      <c r="S142" s="83" t="str">
        <f t="shared" si="16"/>
        <v>GMC-2001A</v>
      </c>
      <c r="T142" s="83" t="str">
        <f t="shared" si="17"/>
        <v>Cadillac</v>
      </c>
      <c r="Y142" s="60">
        <f t="shared" si="18"/>
        <v>6</v>
      </c>
      <c r="Z142" s="49">
        <f t="shared" si="19"/>
        <v>122</v>
      </c>
      <c r="AA142" s="60">
        <f t="shared" si="20"/>
        <v>6122</v>
      </c>
    </row>
    <row r="143" spans="1:27">
      <c r="A143" s="83" t="str">
        <f t="shared" si="14"/>
        <v>GMC-2001Bnavy</v>
      </c>
      <c r="B143" s="83" t="str">
        <f t="shared" si="15"/>
        <v>06-123-16</v>
      </c>
      <c r="C143" s="106" t="s">
        <v>1326</v>
      </c>
      <c r="D143" s="106" t="s">
        <v>1327</v>
      </c>
      <c r="E143" s="106" t="s">
        <v>788</v>
      </c>
      <c r="F143" s="107">
        <v>0</v>
      </c>
      <c r="G143" s="106" t="s">
        <v>1328</v>
      </c>
      <c r="H143" s="106" t="s">
        <v>55</v>
      </c>
      <c r="I143" s="106" t="s">
        <v>1027</v>
      </c>
      <c r="J143" s="106" t="s">
        <v>356</v>
      </c>
      <c r="K143" s="106" t="s">
        <v>382</v>
      </c>
      <c r="L143" s="106" t="s">
        <v>1304</v>
      </c>
      <c r="M143" s="106" t="s">
        <v>388</v>
      </c>
      <c r="N143" s="106" t="s">
        <v>43</v>
      </c>
      <c r="O143" s="106" t="s">
        <v>386</v>
      </c>
      <c r="P143" s="106" t="s">
        <v>866</v>
      </c>
      <c r="Q143" s="106" t="s">
        <v>818</v>
      </c>
      <c r="R143" s="106" t="s">
        <v>71</v>
      </c>
      <c r="S143" s="83" t="str">
        <f t="shared" si="16"/>
        <v>GMC-2001B</v>
      </c>
      <c r="T143" s="83" t="str">
        <f t="shared" si="17"/>
        <v>Chevrolet</v>
      </c>
      <c r="Y143" s="60">
        <f t="shared" si="18"/>
        <v>6</v>
      </c>
      <c r="Z143" s="49">
        <f t="shared" si="19"/>
        <v>123</v>
      </c>
      <c r="AA143" s="60">
        <f t="shared" si="20"/>
        <v>6123</v>
      </c>
    </row>
    <row r="144" spans="1:27">
      <c r="A144" s="83" t="str">
        <f t="shared" si="14"/>
        <v>SMU277A-NASAblk</v>
      </c>
      <c r="B144" s="83" t="str">
        <f t="shared" si="15"/>
        <v>06-124-09</v>
      </c>
      <c r="C144" s="106" t="s">
        <v>1329</v>
      </c>
      <c r="D144" s="106" t="s">
        <v>1330</v>
      </c>
      <c r="E144" s="106" t="s">
        <v>788</v>
      </c>
      <c r="F144" s="107">
        <v>0</v>
      </c>
      <c r="G144" s="106" t="s">
        <v>1331</v>
      </c>
      <c r="H144" s="106" t="s">
        <v>53</v>
      </c>
      <c r="I144" s="106" t="s">
        <v>1027</v>
      </c>
      <c r="J144" s="106" t="s">
        <v>356</v>
      </c>
      <c r="K144" s="106" t="s">
        <v>382</v>
      </c>
      <c r="L144" s="106" t="s">
        <v>1090</v>
      </c>
      <c r="M144" s="106" t="s">
        <v>388</v>
      </c>
      <c r="N144" s="106" t="s">
        <v>43</v>
      </c>
      <c r="O144" s="106" t="s">
        <v>541</v>
      </c>
      <c r="P144" s="106" t="s">
        <v>866</v>
      </c>
      <c r="Q144" s="106" t="s">
        <v>843</v>
      </c>
      <c r="R144" s="106" t="s">
        <v>53</v>
      </c>
      <c r="S144" s="83" t="str">
        <f t="shared" si="16"/>
        <v>SMU277A-NASA</v>
      </c>
      <c r="T144" s="83" t="str">
        <f t="shared" si="17"/>
        <v>Space with NASA</v>
      </c>
      <c r="Y144" s="60">
        <f t="shared" si="18"/>
        <v>6</v>
      </c>
      <c r="Z144" s="49">
        <f t="shared" si="19"/>
        <v>124</v>
      </c>
      <c r="AA144" s="60">
        <f t="shared" si="20"/>
        <v>6124</v>
      </c>
    </row>
    <row r="145" spans="1:27">
      <c r="A145" s="83" t="str">
        <f t="shared" si="14"/>
        <v>SMU277A-YNPdgrn</v>
      </c>
      <c r="B145" s="83" t="str">
        <f t="shared" si="15"/>
        <v>06-125-06</v>
      </c>
      <c r="C145" s="106" t="s">
        <v>1332</v>
      </c>
      <c r="D145" s="106" t="s">
        <v>1333</v>
      </c>
      <c r="E145" s="106" t="s">
        <v>788</v>
      </c>
      <c r="F145" s="107">
        <v>0</v>
      </c>
      <c r="G145" s="106" t="s">
        <v>1334</v>
      </c>
      <c r="H145" s="106" t="s">
        <v>60</v>
      </c>
      <c r="I145" s="106" t="s">
        <v>1027</v>
      </c>
      <c r="J145" s="106" t="s">
        <v>356</v>
      </c>
      <c r="K145" s="106" t="s">
        <v>382</v>
      </c>
      <c r="L145" s="106" t="s">
        <v>865</v>
      </c>
      <c r="M145" s="106" t="s">
        <v>388</v>
      </c>
      <c r="N145" s="106" t="s">
        <v>43</v>
      </c>
      <c r="O145" s="106" t="s">
        <v>541</v>
      </c>
      <c r="P145" s="106" t="s">
        <v>866</v>
      </c>
      <c r="Q145" s="106" t="s">
        <v>1199</v>
      </c>
      <c r="R145" s="106" t="s">
        <v>60</v>
      </c>
      <c r="S145" s="83" t="str">
        <f t="shared" si="16"/>
        <v>SMU277A-YNP</v>
      </c>
      <c r="T145" s="83" t="str">
        <f t="shared" si="17"/>
        <v>Yellowstone</v>
      </c>
      <c r="Y145" s="60">
        <f t="shared" si="18"/>
        <v>6</v>
      </c>
      <c r="Z145" s="49">
        <f t="shared" si="19"/>
        <v>125</v>
      </c>
      <c r="AA145" s="60">
        <f t="shared" si="20"/>
        <v>6125</v>
      </c>
    </row>
    <row r="146" spans="1:27">
      <c r="A146" s="83" t="str">
        <f t="shared" si="14"/>
        <v>SMU302A-PALMSstn</v>
      </c>
      <c r="B146" s="83" t="str">
        <f t="shared" si="15"/>
        <v>06-126-02</v>
      </c>
      <c r="C146" s="106" t="s">
        <v>1335</v>
      </c>
      <c r="D146" s="106" t="s">
        <v>1336</v>
      </c>
      <c r="E146" s="106" t="s">
        <v>788</v>
      </c>
      <c r="F146" s="107">
        <v>0</v>
      </c>
      <c r="G146" s="106" t="s">
        <v>1337</v>
      </c>
      <c r="H146" s="106" t="s">
        <v>63</v>
      </c>
      <c r="I146" s="106" t="s">
        <v>786</v>
      </c>
      <c r="J146" s="106" t="s">
        <v>327</v>
      </c>
      <c r="K146" s="106" t="s">
        <v>382</v>
      </c>
      <c r="L146" s="106" t="s">
        <v>865</v>
      </c>
      <c r="M146" s="106" t="s">
        <v>388</v>
      </c>
      <c r="N146" s="106" t="s">
        <v>43</v>
      </c>
      <c r="O146" s="106" t="s">
        <v>541</v>
      </c>
      <c r="P146" s="106" t="s">
        <v>866</v>
      </c>
      <c r="Q146" s="106" t="s">
        <v>1338</v>
      </c>
      <c r="R146" s="106" t="s">
        <v>63</v>
      </c>
      <c r="S146" s="83" t="str">
        <f t="shared" si="16"/>
        <v>SMU302A-PALMS</v>
      </c>
      <c r="T146" s="83" t="str">
        <f t="shared" si="17"/>
        <v>Palm Springs</v>
      </c>
      <c r="Y146" s="60">
        <f t="shared" si="18"/>
        <v>6</v>
      </c>
      <c r="Z146" s="49">
        <f t="shared" si="19"/>
        <v>126</v>
      </c>
      <c r="AA146" s="60">
        <f t="shared" si="20"/>
        <v>6126</v>
      </c>
    </row>
    <row r="147" spans="1:27">
      <c r="A147" s="83" t="str">
        <f t="shared" si="14"/>
        <v>SMU302D-GMblk</v>
      </c>
      <c r="B147" s="83" t="str">
        <f t="shared" si="15"/>
        <v>06-127-09</v>
      </c>
      <c r="C147" s="106" t="s">
        <v>1339</v>
      </c>
      <c r="D147" s="106" t="s">
        <v>1340</v>
      </c>
      <c r="E147" s="106" t="s">
        <v>788</v>
      </c>
      <c r="F147" s="107">
        <v>0</v>
      </c>
      <c r="G147" s="106" t="s">
        <v>1341</v>
      </c>
      <c r="H147" s="106" t="s">
        <v>53</v>
      </c>
      <c r="I147" s="106" t="s">
        <v>786</v>
      </c>
      <c r="J147" s="106" t="s">
        <v>327</v>
      </c>
      <c r="K147" s="106" t="s">
        <v>382</v>
      </c>
      <c r="L147" s="106" t="s">
        <v>1304</v>
      </c>
      <c r="M147" s="106" t="s">
        <v>388</v>
      </c>
      <c r="N147" s="106" t="s">
        <v>43</v>
      </c>
      <c r="O147" s="106" t="s">
        <v>541</v>
      </c>
      <c r="P147" s="106" t="s">
        <v>866</v>
      </c>
      <c r="Q147" s="106" t="s">
        <v>843</v>
      </c>
      <c r="R147" s="106" t="s">
        <v>53</v>
      </c>
      <c r="S147" s="83" t="str">
        <f t="shared" si="16"/>
        <v>SMU302D-GM</v>
      </c>
      <c r="T147" s="83" t="str">
        <f t="shared" si="17"/>
        <v>Cadillac</v>
      </c>
      <c r="Y147" s="60">
        <f t="shared" si="18"/>
        <v>6</v>
      </c>
      <c r="Z147" s="49">
        <f t="shared" si="19"/>
        <v>127</v>
      </c>
      <c r="AA147" s="60">
        <f t="shared" si="20"/>
        <v>6127</v>
      </c>
    </row>
    <row r="148" spans="1:27">
      <c r="A148" s="83" t="str">
        <f t="shared" si="14"/>
        <v>SMU500A-TAHOEgsbn</v>
      </c>
      <c r="B148" s="83" t="str">
        <f t="shared" si="15"/>
        <v>06-128-06</v>
      </c>
      <c r="C148" s="106" t="s">
        <v>1342</v>
      </c>
      <c r="D148" s="106" t="s">
        <v>1343</v>
      </c>
      <c r="E148" s="106" t="s">
        <v>788</v>
      </c>
      <c r="F148" s="107">
        <v>0</v>
      </c>
      <c r="G148" s="106" t="s">
        <v>1344</v>
      </c>
      <c r="H148" s="106" t="s">
        <v>71</v>
      </c>
      <c r="I148" s="106" t="s">
        <v>1027</v>
      </c>
      <c r="J148" s="106" t="s">
        <v>356</v>
      </c>
      <c r="K148" s="106" t="s">
        <v>382</v>
      </c>
      <c r="L148" s="106" t="s">
        <v>865</v>
      </c>
      <c r="M148" s="106" t="s">
        <v>388</v>
      </c>
      <c r="N148" s="106" t="s">
        <v>43</v>
      </c>
      <c r="O148" s="106" t="s">
        <v>386</v>
      </c>
      <c r="P148" s="106" t="s">
        <v>866</v>
      </c>
      <c r="Q148" s="106" t="s">
        <v>1345</v>
      </c>
      <c r="R148" s="106" t="s">
        <v>71</v>
      </c>
      <c r="S148" s="83" t="str">
        <f t="shared" si="16"/>
        <v>SMU500A-TAHOE</v>
      </c>
      <c r="T148" s="83" t="str">
        <f t="shared" si="17"/>
        <v>Lake Tahoe</v>
      </c>
      <c r="Y148" s="60">
        <f t="shared" si="18"/>
        <v>6</v>
      </c>
      <c r="Z148" s="49">
        <f t="shared" si="19"/>
        <v>128</v>
      </c>
      <c r="AA148" s="60">
        <f t="shared" si="20"/>
        <v>6128</v>
      </c>
    </row>
    <row r="149" spans="1:27">
      <c r="A149" s="83" t="str">
        <f t="shared" si="14"/>
        <v>SMU562-VTdgrn</v>
      </c>
      <c r="B149" s="83" t="str">
        <f t="shared" si="15"/>
        <v>06-129-03</v>
      </c>
      <c r="C149" s="106" t="s">
        <v>1346</v>
      </c>
      <c r="D149" s="106" t="s">
        <v>1347</v>
      </c>
      <c r="E149" s="106" t="s">
        <v>788</v>
      </c>
      <c r="F149" s="107">
        <v>0</v>
      </c>
      <c r="G149" s="106" t="s">
        <v>1348</v>
      </c>
      <c r="H149" s="106" t="s">
        <v>195</v>
      </c>
      <c r="I149" s="106" t="s">
        <v>786</v>
      </c>
      <c r="J149" s="106" t="s">
        <v>327</v>
      </c>
      <c r="K149" s="106" t="s">
        <v>382</v>
      </c>
      <c r="L149" s="106" t="s">
        <v>880</v>
      </c>
      <c r="M149" s="106" t="s">
        <v>388</v>
      </c>
      <c r="N149" s="106" t="s">
        <v>43</v>
      </c>
      <c r="O149" s="106" t="s">
        <v>386</v>
      </c>
      <c r="P149" s="106" t="s">
        <v>866</v>
      </c>
      <c r="Q149" s="106" t="s">
        <v>1199</v>
      </c>
      <c r="R149" s="106" t="s">
        <v>195</v>
      </c>
      <c r="S149" s="83" t="str">
        <f t="shared" si="16"/>
        <v>SMU562-VT</v>
      </c>
      <c r="T149" s="83" t="str">
        <f t="shared" si="17"/>
        <v>Vermont Iconic</v>
      </c>
      <c r="Y149" s="60">
        <f t="shared" si="18"/>
        <v>6</v>
      </c>
      <c r="Z149" s="49">
        <f t="shared" si="19"/>
        <v>129</v>
      </c>
      <c r="AA149" s="60">
        <f t="shared" si="20"/>
        <v>6129</v>
      </c>
    </row>
    <row r="150" spans="1:27">
      <c r="A150" s="83" t="str">
        <f t="shared" si="14"/>
        <v>SMU598A-VTicgc</v>
      </c>
      <c r="B150" s="83" t="str">
        <f t="shared" si="15"/>
        <v>06-130-03</v>
      </c>
      <c r="C150" s="106" t="s">
        <v>1349</v>
      </c>
      <c r="D150" s="106" t="s">
        <v>1350</v>
      </c>
      <c r="E150" s="106" t="s">
        <v>788</v>
      </c>
      <c r="F150" s="107">
        <v>0</v>
      </c>
      <c r="G150" s="106" t="s">
        <v>1351</v>
      </c>
      <c r="H150" s="106" t="s">
        <v>195</v>
      </c>
      <c r="I150" s="106" t="s">
        <v>1027</v>
      </c>
      <c r="J150" s="106" t="s">
        <v>356</v>
      </c>
      <c r="K150" s="106" t="s">
        <v>382</v>
      </c>
      <c r="L150" s="106" t="s">
        <v>865</v>
      </c>
      <c r="M150" s="106" t="s">
        <v>388</v>
      </c>
      <c r="N150" s="106" t="s">
        <v>43</v>
      </c>
      <c r="O150" s="106" t="s">
        <v>386</v>
      </c>
      <c r="P150" s="106" t="s">
        <v>866</v>
      </c>
      <c r="Q150" s="106" t="s">
        <v>1352</v>
      </c>
      <c r="R150" s="106" t="s">
        <v>195</v>
      </c>
      <c r="S150" s="83" t="str">
        <f t="shared" si="16"/>
        <v>SMU598A-VT</v>
      </c>
      <c r="T150" s="83" t="str">
        <f t="shared" si="17"/>
        <v>Vermont</v>
      </c>
      <c r="Y150" s="60">
        <f t="shared" si="18"/>
        <v>6</v>
      </c>
      <c r="Z150" s="49">
        <f t="shared" si="19"/>
        <v>130</v>
      </c>
      <c r="AA150" s="60">
        <f t="shared" si="20"/>
        <v>6130</v>
      </c>
    </row>
    <row r="151" spans="1:27">
      <c r="A151" s="83" t="str">
        <f t="shared" si="14"/>
        <v>42760A-CALIMineral</v>
      </c>
      <c r="B151" s="83" t="str">
        <f t="shared" si="15"/>
        <v>06-052-01</v>
      </c>
      <c r="C151" s="106" t="s">
        <v>1353</v>
      </c>
      <c r="D151" s="106" t="s">
        <v>1354</v>
      </c>
      <c r="E151" s="106" t="s">
        <v>788</v>
      </c>
      <c r="F151" s="107">
        <v>0</v>
      </c>
      <c r="G151" s="106" t="s">
        <v>1051</v>
      </c>
      <c r="H151" s="106" t="s">
        <v>120</v>
      </c>
      <c r="I151" s="106" t="s">
        <v>786</v>
      </c>
      <c r="J151" s="106" t="s">
        <v>327</v>
      </c>
      <c r="K151" s="106" t="s">
        <v>382</v>
      </c>
      <c r="L151" s="106" t="s">
        <v>880</v>
      </c>
      <c r="M151" s="106" t="s">
        <v>388</v>
      </c>
      <c r="N151" s="106" t="s">
        <v>43</v>
      </c>
      <c r="O151" s="106" t="s">
        <v>541</v>
      </c>
      <c r="P151" s="106" t="s">
        <v>866</v>
      </c>
      <c r="Q151" s="106" t="s">
        <v>847</v>
      </c>
      <c r="R151" s="106" t="s">
        <v>71</v>
      </c>
      <c r="S151" s="83" t="str">
        <f t="shared" si="16"/>
        <v>42760A-CALI</v>
      </c>
      <c r="T151" s="83" t="str">
        <f t="shared" si="17"/>
        <v>California</v>
      </c>
      <c r="Y151" s="60">
        <f t="shared" si="18"/>
        <v>6</v>
      </c>
      <c r="Z151" s="49">
        <f t="shared" si="19"/>
        <v>52</v>
      </c>
      <c r="AA151" s="60">
        <f t="shared" si="20"/>
        <v>6052</v>
      </c>
    </row>
    <row r="152" spans="1:27">
      <c r="A152" s="83" t="str">
        <f t="shared" si="14"/>
        <v>20001A-AUSTINMOmoss</v>
      </c>
      <c r="B152" s="83" t="str">
        <f t="shared" si="15"/>
        <v>06-131-03</v>
      </c>
      <c r="C152" s="106" t="s">
        <v>1355</v>
      </c>
      <c r="D152" s="106" t="s">
        <v>1356</v>
      </c>
      <c r="E152" s="106" t="s">
        <v>788</v>
      </c>
      <c r="F152" s="107">
        <v>0</v>
      </c>
      <c r="G152" s="106" t="s">
        <v>1357</v>
      </c>
      <c r="H152" s="106" t="s">
        <v>195</v>
      </c>
      <c r="I152" s="106" t="s">
        <v>786</v>
      </c>
      <c r="J152" s="106" t="s">
        <v>327</v>
      </c>
      <c r="K152" s="106" t="s">
        <v>382</v>
      </c>
      <c r="L152" s="106" t="s">
        <v>1358</v>
      </c>
      <c r="M152" s="106" t="s">
        <v>388</v>
      </c>
      <c r="N152" s="106" t="s">
        <v>43</v>
      </c>
      <c r="O152" s="106" t="s">
        <v>541</v>
      </c>
      <c r="P152" s="106" t="s">
        <v>866</v>
      </c>
      <c r="Q152" s="106" t="s">
        <v>844</v>
      </c>
      <c r="R152" s="106" t="s">
        <v>195</v>
      </c>
      <c r="S152" s="83" t="str">
        <f t="shared" si="16"/>
        <v>20001A-AUSTINMO</v>
      </c>
      <c r="T152" s="83" t="str">
        <f t="shared" si="17"/>
        <v>Austin Motor Company</v>
      </c>
      <c r="Y152" s="60">
        <f t="shared" si="18"/>
        <v>6</v>
      </c>
      <c r="Z152" s="49">
        <f t="shared" si="19"/>
        <v>131</v>
      </c>
      <c r="AA152" s="60">
        <f t="shared" si="20"/>
        <v>6131</v>
      </c>
    </row>
    <row r="153" spans="1:27">
      <c r="A153" s="83" t="str">
        <f t="shared" si="14"/>
        <v>20001A-IRONSIDEblack</v>
      </c>
      <c r="B153" s="83" t="str">
        <f t="shared" si="15"/>
        <v>06-132-09</v>
      </c>
      <c r="C153" s="106" t="s">
        <v>1359</v>
      </c>
      <c r="D153" s="106" t="s">
        <v>1360</v>
      </c>
      <c r="E153" s="106" t="s">
        <v>788</v>
      </c>
      <c r="F153" s="107">
        <v>0</v>
      </c>
      <c r="G153" s="106" t="s">
        <v>1361</v>
      </c>
      <c r="H153" s="106" t="s">
        <v>53</v>
      </c>
      <c r="I153" s="106" t="s">
        <v>786</v>
      </c>
      <c r="J153" s="106" t="s">
        <v>327</v>
      </c>
      <c r="K153" s="106" t="s">
        <v>382</v>
      </c>
      <c r="L153" s="106" t="s">
        <v>1358</v>
      </c>
      <c r="M153" s="106" t="s">
        <v>388</v>
      </c>
      <c r="N153" s="106" t="s">
        <v>43</v>
      </c>
      <c r="O153" s="106" t="s">
        <v>541</v>
      </c>
      <c r="P153" s="106" t="s">
        <v>866</v>
      </c>
      <c r="Q153" s="106" t="s">
        <v>819</v>
      </c>
      <c r="R153" s="106" t="s">
        <v>53</v>
      </c>
      <c r="S153" s="83" t="str">
        <f t="shared" si="16"/>
        <v>20001A-IRONSIDE</v>
      </c>
      <c r="T153" s="83" t="str">
        <f t="shared" si="17"/>
        <v>Ironside Motorcycle</v>
      </c>
      <c r="Y153" s="60">
        <f t="shared" si="18"/>
        <v>6</v>
      </c>
      <c r="Z153" s="49">
        <f t="shared" si="19"/>
        <v>132</v>
      </c>
      <c r="AA153" s="60">
        <f t="shared" si="20"/>
        <v>6132</v>
      </c>
    </row>
    <row r="154" spans="1:27">
      <c r="A154" s="83" t="str">
        <f t="shared" si="14"/>
        <v>20001A-LAMOTORnavy</v>
      </c>
      <c r="B154" s="83" t="str">
        <f t="shared" si="15"/>
        <v>06-133-16</v>
      </c>
      <c r="C154" s="106" t="s">
        <v>1362</v>
      </c>
      <c r="D154" s="106" t="s">
        <v>1363</v>
      </c>
      <c r="E154" s="106" t="s">
        <v>788</v>
      </c>
      <c r="F154" s="107">
        <v>0</v>
      </c>
      <c r="G154" s="106" t="s">
        <v>1364</v>
      </c>
      <c r="H154" s="106" t="s">
        <v>55</v>
      </c>
      <c r="I154" s="106" t="s">
        <v>786</v>
      </c>
      <c r="J154" s="106" t="s">
        <v>327</v>
      </c>
      <c r="K154" s="106" t="s">
        <v>382</v>
      </c>
      <c r="L154" s="106" t="s">
        <v>1358</v>
      </c>
      <c r="M154" s="106" t="s">
        <v>388</v>
      </c>
      <c r="N154" s="106" t="s">
        <v>43</v>
      </c>
      <c r="O154" s="106" t="s">
        <v>541</v>
      </c>
      <c r="P154" s="106" t="s">
        <v>866</v>
      </c>
      <c r="Q154" s="106" t="s">
        <v>818</v>
      </c>
      <c r="R154" s="106" t="s">
        <v>71</v>
      </c>
      <c r="S154" s="83" t="str">
        <f t="shared" si="16"/>
        <v>20001A-LAMOTOR</v>
      </c>
      <c r="T154" s="83" t="str">
        <f t="shared" si="17"/>
        <v>Los Angeles Motordrome</v>
      </c>
      <c r="Y154" s="60">
        <f t="shared" si="18"/>
        <v>6</v>
      </c>
      <c r="Z154" s="49">
        <f t="shared" si="19"/>
        <v>133</v>
      </c>
      <c r="AA154" s="60">
        <f t="shared" si="20"/>
        <v>6133</v>
      </c>
    </row>
    <row r="155" spans="1:27">
      <c r="A155" s="83" t="str">
        <f t="shared" si="14"/>
        <v>20001A-NWILKEScrimson</v>
      </c>
      <c r="B155" s="83" t="str">
        <f t="shared" si="15"/>
        <v>06-134-18</v>
      </c>
      <c r="C155" s="106" t="s">
        <v>1365</v>
      </c>
      <c r="D155" s="106" t="s">
        <v>1366</v>
      </c>
      <c r="E155" s="106" t="s">
        <v>788</v>
      </c>
      <c r="F155" s="107">
        <v>0</v>
      </c>
      <c r="G155" s="106" t="s">
        <v>1367</v>
      </c>
      <c r="H155" s="106" t="s">
        <v>78</v>
      </c>
      <c r="I155" s="106" t="s">
        <v>786</v>
      </c>
      <c r="J155" s="106" t="s">
        <v>327</v>
      </c>
      <c r="K155" s="106" t="s">
        <v>382</v>
      </c>
      <c r="L155" s="106" t="s">
        <v>1358</v>
      </c>
      <c r="M155" s="106" t="s">
        <v>388</v>
      </c>
      <c r="N155" s="106" t="s">
        <v>43</v>
      </c>
      <c r="O155" s="106" t="s">
        <v>541</v>
      </c>
      <c r="P155" s="106" t="s">
        <v>866</v>
      </c>
      <c r="Q155" s="106" t="s">
        <v>1368</v>
      </c>
      <c r="R155" s="106" t="s">
        <v>78</v>
      </c>
      <c r="S155" s="83" t="str">
        <f t="shared" si="16"/>
        <v>20001A-NWILKES</v>
      </c>
      <c r="T155" s="83" t="str">
        <f t="shared" si="17"/>
        <v>North Wilkesboro Speedway</v>
      </c>
      <c r="Y155" s="60">
        <f t="shared" si="18"/>
        <v>6</v>
      </c>
      <c r="Z155" s="49">
        <f t="shared" si="19"/>
        <v>134</v>
      </c>
      <c r="AA155" s="60">
        <f t="shared" si="20"/>
        <v>6134</v>
      </c>
    </row>
    <row r="156" spans="1:27">
      <c r="A156" s="83" t="str">
        <f t="shared" si="14"/>
        <v>20001A-SAUGUSseafoam</v>
      </c>
      <c r="B156" s="83" t="str">
        <f t="shared" si="15"/>
        <v>06-135-19</v>
      </c>
      <c r="C156" s="106" t="s">
        <v>1369</v>
      </c>
      <c r="D156" s="106" t="s">
        <v>1370</v>
      </c>
      <c r="E156" s="106" t="s">
        <v>788</v>
      </c>
      <c r="F156" s="107">
        <v>0</v>
      </c>
      <c r="G156" s="106" t="s">
        <v>1371</v>
      </c>
      <c r="H156" s="106" t="s">
        <v>91</v>
      </c>
      <c r="I156" s="106" t="s">
        <v>786</v>
      </c>
      <c r="J156" s="106" t="s">
        <v>327</v>
      </c>
      <c r="K156" s="106" t="s">
        <v>382</v>
      </c>
      <c r="L156" s="106" t="s">
        <v>1358</v>
      </c>
      <c r="M156" s="106" t="s">
        <v>388</v>
      </c>
      <c r="N156" s="106" t="s">
        <v>43</v>
      </c>
      <c r="O156" s="106" t="s">
        <v>541</v>
      </c>
      <c r="P156" s="106" t="s">
        <v>866</v>
      </c>
      <c r="Q156" s="106" t="s">
        <v>1372</v>
      </c>
      <c r="R156" s="106" t="s">
        <v>91</v>
      </c>
      <c r="S156" s="83" t="str">
        <f t="shared" si="16"/>
        <v>20001A-SAUGUS</v>
      </c>
      <c r="T156" s="83" t="str">
        <f t="shared" si="17"/>
        <v>Saugus Speedway</v>
      </c>
      <c r="Y156" s="60">
        <f t="shared" si="18"/>
        <v>6</v>
      </c>
      <c r="Z156" s="49">
        <f t="shared" si="19"/>
        <v>135</v>
      </c>
      <c r="AA156" s="60">
        <f t="shared" si="20"/>
        <v>6135</v>
      </c>
    </row>
    <row r="157" spans="1:27">
      <c r="A157" s="83" t="str">
        <f t="shared" si="14"/>
        <v>20001A-SUPERTblue</v>
      </c>
      <c r="B157" s="83" t="str">
        <f t="shared" si="15"/>
        <v>06-136-06</v>
      </c>
      <c r="C157" s="106" t="s">
        <v>1373</v>
      </c>
      <c r="D157" s="106" t="s">
        <v>1374</v>
      </c>
      <c r="E157" s="106" t="s">
        <v>788</v>
      </c>
      <c r="F157" s="107">
        <v>0</v>
      </c>
      <c r="G157" s="106" t="s">
        <v>1375</v>
      </c>
      <c r="H157" s="106" t="s">
        <v>71</v>
      </c>
      <c r="I157" s="106" t="s">
        <v>786</v>
      </c>
      <c r="J157" s="106" t="s">
        <v>327</v>
      </c>
      <c r="K157" s="106" t="s">
        <v>382</v>
      </c>
      <c r="L157" s="106" t="s">
        <v>1358</v>
      </c>
      <c r="M157" s="106" t="s">
        <v>388</v>
      </c>
      <c r="N157" s="106" t="s">
        <v>43</v>
      </c>
      <c r="O157" s="106" t="s">
        <v>541</v>
      </c>
      <c r="P157" s="106" t="s">
        <v>866</v>
      </c>
      <c r="Q157" s="106" t="s">
        <v>823</v>
      </c>
      <c r="R157" s="106" t="s">
        <v>71</v>
      </c>
      <c r="S157" s="83" t="str">
        <f t="shared" si="16"/>
        <v>20001A-SUPERT</v>
      </c>
      <c r="T157" s="83" t="str">
        <f t="shared" si="17"/>
        <v>The Super Track</v>
      </c>
      <c r="Y157" s="60">
        <f t="shared" si="18"/>
        <v>6</v>
      </c>
      <c r="Z157" s="49">
        <f t="shared" si="19"/>
        <v>136</v>
      </c>
      <c r="AA157" s="60">
        <f t="shared" si="20"/>
        <v>6136</v>
      </c>
    </row>
    <row r="158" spans="1:27">
      <c r="A158" s="83" t="str">
        <f t="shared" si="14"/>
        <v>21001A-CAnvivr</v>
      </c>
      <c r="B158" s="83" t="str">
        <f t="shared" si="15"/>
        <v>06-137-65</v>
      </c>
      <c r="C158" s="106" t="s">
        <v>1376</v>
      </c>
      <c r="D158" s="106" t="s">
        <v>1377</v>
      </c>
      <c r="E158" s="106" t="s">
        <v>788</v>
      </c>
      <c r="F158" s="107">
        <v>0</v>
      </c>
      <c r="G158" s="106" t="s">
        <v>1378</v>
      </c>
      <c r="H158" s="106" t="s">
        <v>679</v>
      </c>
      <c r="I158" s="106" t="s">
        <v>1034</v>
      </c>
      <c r="J158" s="106" t="s">
        <v>356</v>
      </c>
      <c r="K158" s="106" t="s">
        <v>382</v>
      </c>
      <c r="L158" s="106" t="s">
        <v>880</v>
      </c>
      <c r="M158" s="106" t="s">
        <v>388</v>
      </c>
      <c r="N158" s="106" t="s">
        <v>43</v>
      </c>
      <c r="O158" s="106" t="s">
        <v>386</v>
      </c>
      <c r="P158" s="106" t="s">
        <v>866</v>
      </c>
      <c r="Q158" s="106" t="s">
        <v>1379</v>
      </c>
      <c r="R158" s="106" t="s">
        <v>71</v>
      </c>
      <c r="S158" s="83" t="str">
        <f t="shared" si="16"/>
        <v>21001A-CA</v>
      </c>
      <c r="T158" s="83" t="str">
        <f t="shared" si="17"/>
        <v>California Sinclair</v>
      </c>
      <c r="Y158" s="60">
        <f t="shared" si="18"/>
        <v>6</v>
      </c>
      <c r="Z158" s="49">
        <f t="shared" si="19"/>
        <v>137</v>
      </c>
      <c r="AA158" s="60">
        <f t="shared" si="20"/>
        <v>6137</v>
      </c>
    </row>
    <row r="159" spans="1:27">
      <c r="A159" s="83" t="str">
        <f t="shared" si="14"/>
        <v>21002A-CALIdk cedar</v>
      </c>
      <c r="B159" s="83" t="str">
        <f t="shared" si="15"/>
        <v>06-138-07</v>
      </c>
      <c r="C159" s="106" t="s">
        <v>1380</v>
      </c>
      <c r="D159" s="106" t="s">
        <v>1381</v>
      </c>
      <c r="E159" s="106" t="s">
        <v>788</v>
      </c>
      <c r="F159" s="107">
        <v>0</v>
      </c>
      <c r="G159" s="106" t="s">
        <v>1382</v>
      </c>
      <c r="H159" s="106" t="s">
        <v>269</v>
      </c>
      <c r="I159" s="106" t="s">
        <v>1383</v>
      </c>
      <c r="J159" s="106" t="s">
        <v>327</v>
      </c>
      <c r="K159" s="106" t="s">
        <v>382</v>
      </c>
      <c r="L159" s="106" t="s">
        <v>880</v>
      </c>
      <c r="M159" s="106" t="s">
        <v>388</v>
      </c>
      <c r="O159" s="106" t="s">
        <v>386</v>
      </c>
      <c r="P159" s="106" t="s">
        <v>866</v>
      </c>
      <c r="Q159" s="106" t="s">
        <v>1384</v>
      </c>
      <c r="R159" s="106" t="s">
        <v>60</v>
      </c>
      <c r="S159" s="83" t="str">
        <f t="shared" si="16"/>
        <v>21002A-CALI</v>
      </c>
      <c r="T159" s="83" t="str">
        <f t="shared" si="17"/>
        <v>California Pacific Coast</v>
      </c>
      <c r="Y159" s="60">
        <f t="shared" si="18"/>
        <v>6</v>
      </c>
      <c r="Z159" s="49">
        <f t="shared" si="19"/>
        <v>138</v>
      </c>
      <c r="AA159" s="60">
        <f t="shared" si="20"/>
        <v>6138</v>
      </c>
    </row>
    <row r="160" spans="1:27">
      <c r="A160" s="83" t="str">
        <f t="shared" si="14"/>
        <v>21002A-NASASky Blue</v>
      </c>
      <c r="B160" s="83" t="str">
        <f t="shared" si="15"/>
        <v>06-139-19</v>
      </c>
      <c r="C160" s="106" t="s">
        <v>1385</v>
      </c>
      <c r="D160" s="106" t="s">
        <v>1386</v>
      </c>
      <c r="E160" s="106" t="s">
        <v>788</v>
      </c>
      <c r="F160" s="107">
        <v>0</v>
      </c>
      <c r="G160" s="106" t="s">
        <v>1387</v>
      </c>
      <c r="H160" s="106" t="s">
        <v>91</v>
      </c>
      <c r="I160" s="106" t="s">
        <v>1383</v>
      </c>
      <c r="J160" s="106" t="s">
        <v>327</v>
      </c>
      <c r="K160" s="106" t="s">
        <v>382</v>
      </c>
      <c r="L160" s="106" t="s">
        <v>873</v>
      </c>
      <c r="M160" s="106" t="s">
        <v>388</v>
      </c>
      <c r="O160" s="106" t="s">
        <v>386</v>
      </c>
      <c r="P160" s="106" t="s">
        <v>866</v>
      </c>
      <c r="Q160" s="106" t="s">
        <v>841</v>
      </c>
      <c r="R160" s="106" t="s">
        <v>91</v>
      </c>
      <c r="S160" s="83" t="str">
        <f t="shared" si="16"/>
        <v>21002A-NASA</v>
      </c>
      <c r="T160" s="83" t="str">
        <f t="shared" si="17"/>
        <v>Space with NASA Pacific Coast</v>
      </c>
      <c r="Y160" s="60">
        <f t="shared" si="18"/>
        <v>6</v>
      </c>
      <c r="Z160" s="49">
        <f t="shared" si="19"/>
        <v>139</v>
      </c>
      <c r="AA160" s="60">
        <f t="shared" si="20"/>
        <v>6139</v>
      </c>
    </row>
    <row r="161" spans="1:27">
      <c r="A161" s="83" t="str">
        <f t="shared" si="14"/>
        <v>21005A-BATblack</v>
      </c>
      <c r="B161" s="83" t="str">
        <f t="shared" si="15"/>
        <v>06-140-09</v>
      </c>
      <c r="C161" s="106" t="s">
        <v>1388</v>
      </c>
      <c r="D161" s="106" t="s">
        <v>1389</v>
      </c>
      <c r="E161" s="106" t="s">
        <v>788</v>
      </c>
      <c r="F161" s="107">
        <v>0</v>
      </c>
      <c r="G161" s="106" t="s">
        <v>1390</v>
      </c>
      <c r="H161" s="106" t="s">
        <v>53</v>
      </c>
      <c r="I161" s="106" t="s">
        <v>848</v>
      </c>
      <c r="J161" s="106" t="s">
        <v>327</v>
      </c>
      <c r="K161" s="106" t="s">
        <v>382</v>
      </c>
      <c r="L161" s="106" t="s">
        <v>884</v>
      </c>
      <c r="M161" s="106" t="s">
        <v>388</v>
      </c>
      <c r="N161" s="106" t="s">
        <v>44</v>
      </c>
      <c r="O161" s="106" t="s">
        <v>386</v>
      </c>
      <c r="P161" s="106" t="s">
        <v>866</v>
      </c>
      <c r="Q161" s="106" t="s">
        <v>819</v>
      </c>
      <c r="R161" s="106" t="s">
        <v>53</v>
      </c>
      <c r="S161" s="83" t="str">
        <f t="shared" si="16"/>
        <v>21005A-BAT</v>
      </c>
      <c r="T161" s="83" t="str">
        <f t="shared" si="17"/>
        <v>Baltimore Terrapins Archive MILB</v>
      </c>
      <c r="Y161" s="60">
        <f t="shared" si="18"/>
        <v>6</v>
      </c>
      <c r="Z161" s="49">
        <f t="shared" si="19"/>
        <v>140</v>
      </c>
      <c r="AA161" s="60">
        <f t="shared" si="20"/>
        <v>6140</v>
      </c>
    </row>
    <row r="162" spans="1:27">
      <c r="A162" s="83" t="str">
        <f t="shared" si="14"/>
        <v>21005A-BBBblack</v>
      </c>
      <c r="B162" s="83" t="str">
        <f t="shared" si="15"/>
        <v>06-141-09</v>
      </c>
      <c r="C162" s="106" t="s">
        <v>1391</v>
      </c>
      <c r="D162" s="106" t="s">
        <v>1392</v>
      </c>
      <c r="E162" s="106" t="s">
        <v>788</v>
      </c>
      <c r="F162" s="107">
        <v>0</v>
      </c>
      <c r="G162" s="106" t="s">
        <v>1393</v>
      </c>
      <c r="H162" s="106" t="s">
        <v>53</v>
      </c>
      <c r="I162" s="106" t="s">
        <v>848</v>
      </c>
      <c r="J162" s="106" t="s">
        <v>327</v>
      </c>
      <c r="K162" s="106" t="s">
        <v>382</v>
      </c>
      <c r="L162" s="106" t="s">
        <v>884</v>
      </c>
      <c r="M162" s="106" t="s">
        <v>388</v>
      </c>
      <c r="N162" s="106" t="s">
        <v>44</v>
      </c>
      <c r="O162" s="106" t="s">
        <v>386</v>
      </c>
      <c r="P162" s="106" t="s">
        <v>866</v>
      </c>
      <c r="Q162" s="106" t="s">
        <v>819</v>
      </c>
      <c r="R162" s="106" t="s">
        <v>53</v>
      </c>
      <c r="S162" s="83" t="str">
        <f t="shared" si="16"/>
        <v>21005A-BBB</v>
      </c>
      <c r="T162" s="83" t="str">
        <f t="shared" si="17"/>
        <v>Birmingham Black Barons Archive NL</v>
      </c>
      <c r="Y162" s="60">
        <f t="shared" si="18"/>
        <v>6</v>
      </c>
      <c r="Z162" s="49">
        <f t="shared" si="19"/>
        <v>141</v>
      </c>
      <c r="AA162" s="60">
        <f t="shared" si="20"/>
        <v>6141</v>
      </c>
    </row>
    <row r="163" spans="1:27">
      <c r="A163" s="83" t="str">
        <f t="shared" si="14"/>
        <v>21005A-BRBnvor</v>
      </c>
      <c r="B163" s="83" t="str">
        <f t="shared" si="15"/>
        <v>06-142-45</v>
      </c>
      <c r="C163" s="106" t="s">
        <v>1394</v>
      </c>
      <c r="D163" s="106" t="s">
        <v>1395</v>
      </c>
      <c r="E163" s="106" t="s">
        <v>788</v>
      </c>
      <c r="F163" s="107">
        <v>0</v>
      </c>
      <c r="G163" s="106" t="s">
        <v>1396</v>
      </c>
      <c r="H163" s="106" t="s">
        <v>282</v>
      </c>
      <c r="I163" s="106" t="s">
        <v>848</v>
      </c>
      <c r="J163" s="106" t="s">
        <v>327</v>
      </c>
      <c r="K163" s="106" t="s">
        <v>382</v>
      </c>
      <c r="L163" s="106" t="s">
        <v>884</v>
      </c>
      <c r="M163" s="106" t="s">
        <v>388</v>
      </c>
      <c r="N163" s="106" t="s">
        <v>44</v>
      </c>
      <c r="O163" s="106" t="s">
        <v>386</v>
      </c>
      <c r="P163" s="106" t="s">
        <v>866</v>
      </c>
      <c r="Q163" s="106" t="s">
        <v>1100</v>
      </c>
      <c r="R163" s="106" t="s">
        <v>71</v>
      </c>
      <c r="S163" s="83" t="str">
        <f t="shared" si="16"/>
        <v>21005A-BRB</v>
      </c>
      <c r="T163" s="83" t="str">
        <f t="shared" si="17"/>
        <v>Brooklyn Bushwicks Archive MILB</v>
      </c>
      <c r="Y163" s="60">
        <f t="shared" si="18"/>
        <v>6</v>
      </c>
      <c r="Z163" s="49">
        <f t="shared" si="19"/>
        <v>142</v>
      </c>
      <c r="AA163" s="60">
        <f t="shared" si="20"/>
        <v>6142</v>
      </c>
    </row>
    <row r="164" spans="1:27">
      <c r="A164" s="83" t="str">
        <f t="shared" si="14"/>
        <v>21005A-BTTivrl</v>
      </c>
      <c r="B164" s="83" t="str">
        <f t="shared" si="15"/>
        <v>06-143-38</v>
      </c>
      <c r="C164" s="106" t="s">
        <v>1397</v>
      </c>
      <c r="D164" s="106" t="s">
        <v>1398</v>
      </c>
      <c r="E164" s="106" t="s">
        <v>788</v>
      </c>
      <c r="F164" s="107">
        <v>0</v>
      </c>
      <c r="G164" s="106" t="s">
        <v>1399</v>
      </c>
      <c r="H164" s="106" t="s">
        <v>116</v>
      </c>
      <c r="I164" s="106" t="s">
        <v>848</v>
      </c>
      <c r="J164" s="106" t="s">
        <v>327</v>
      </c>
      <c r="K164" s="106" t="s">
        <v>382</v>
      </c>
      <c r="L164" s="106" t="s">
        <v>884</v>
      </c>
      <c r="M164" s="106" t="s">
        <v>388</v>
      </c>
      <c r="N164" s="106" t="s">
        <v>44</v>
      </c>
      <c r="O164" s="106" t="s">
        <v>386</v>
      </c>
      <c r="P164" s="106" t="s">
        <v>866</v>
      </c>
      <c r="Q164" s="106" t="s">
        <v>1400</v>
      </c>
      <c r="R164" s="106" t="s">
        <v>57</v>
      </c>
      <c r="S164" s="83" t="str">
        <f t="shared" si="16"/>
        <v>21005A-BTT</v>
      </c>
      <c r="T164" s="83" t="str">
        <f t="shared" si="17"/>
        <v>Brooklyn Tip-Tops Archive MILB</v>
      </c>
      <c r="Y164" s="60">
        <f t="shared" si="18"/>
        <v>6</v>
      </c>
      <c r="Z164" s="49">
        <f t="shared" si="19"/>
        <v>143</v>
      </c>
      <c r="AA164" s="60">
        <f t="shared" si="20"/>
        <v>6143</v>
      </c>
    </row>
    <row r="165" spans="1:27">
      <c r="A165" s="83" t="str">
        <f t="shared" si="14"/>
        <v>21005A-CAGblack</v>
      </c>
      <c r="B165" s="83" t="str">
        <f t="shared" si="15"/>
        <v>06-144-09</v>
      </c>
      <c r="C165" s="106" t="s">
        <v>1401</v>
      </c>
      <c r="D165" s="106" t="s">
        <v>1402</v>
      </c>
      <c r="E165" s="106" t="s">
        <v>788</v>
      </c>
      <c r="F165" s="107">
        <v>0</v>
      </c>
      <c r="G165" s="106" t="s">
        <v>1403</v>
      </c>
      <c r="H165" s="106" t="s">
        <v>53</v>
      </c>
      <c r="I165" s="106" t="s">
        <v>848</v>
      </c>
      <c r="J165" s="106" t="s">
        <v>327</v>
      </c>
      <c r="K165" s="106" t="s">
        <v>382</v>
      </c>
      <c r="L165" s="106" t="s">
        <v>884</v>
      </c>
      <c r="M165" s="106" t="s">
        <v>388</v>
      </c>
      <c r="N165" s="106" t="s">
        <v>44</v>
      </c>
      <c r="O165" s="106" t="s">
        <v>386</v>
      </c>
      <c r="P165" s="106" t="s">
        <v>866</v>
      </c>
      <c r="Q165" s="106" t="s">
        <v>819</v>
      </c>
      <c r="R165" s="106" t="s">
        <v>53</v>
      </c>
      <c r="S165" s="83" t="str">
        <f t="shared" si="16"/>
        <v>21005A-CAG</v>
      </c>
      <c r="T165" s="83" t="str">
        <f t="shared" si="17"/>
        <v>Chicago American Giants Archive NL</v>
      </c>
      <c r="Y165" s="60">
        <f t="shared" si="18"/>
        <v>6</v>
      </c>
      <c r="Z165" s="49">
        <f t="shared" si="19"/>
        <v>144</v>
      </c>
      <c r="AA165" s="60">
        <f t="shared" si="20"/>
        <v>6144</v>
      </c>
    </row>
    <row r="166" spans="1:27">
      <c r="A166" s="83" t="str">
        <f t="shared" si="14"/>
        <v>21005A-CBSroyal-ivory</v>
      </c>
      <c r="B166" s="83" t="str">
        <f t="shared" si="15"/>
        <v>06-145-95</v>
      </c>
      <c r="C166" s="106" t="s">
        <v>1404</v>
      </c>
      <c r="D166" s="106" t="s">
        <v>1405</v>
      </c>
      <c r="E166" s="106" t="s">
        <v>788</v>
      </c>
      <c r="F166" s="107">
        <v>0</v>
      </c>
      <c r="G166" s="106" t="s">
        <v>1406</v>
      </c>
      <c r="H166" s="106" t="s">
        <v>248</v>
      </c>
      <c r="I166" s="106" t="s">
        <v>848</v>
      </c>
      <c r="J166" s="106" t="s">
        <v>327</v>
      </c>
      <c r="K166" s="106" t="s">
        <v>382</v>
      </c>
      <c r="L166" s="106" t="s">
        <v>884</v>
      </c>
      <c r="M166" s="106" t="s">
        <v>388</v>
      </c>
      <c r="N166" s="106" t="s">
        <v>44</v>
      </c>
      <c r="O166" s="106" t="s">
        <v>386</v>
      </c>
      <c r="P166" s="106" t="s">
        <v>866</v>
      </c>
      <c r="Q166" s="106" t="s">
        <v>1407</v>
      </c>
      <c r="R166" s="106" t="s">
        <v>71</v>
      </c>
      <c r="S166" s="83" t="str">
        <f t="shared" si="16"/>
        <v>21005A-CBS</v>
      </c>
      <c r="T166" s="83" t="str">
        <f t="shared" si="17"/>
        <v>Chicago Blue Stockings Archive MILB</v>
      </c>
      <c r="Y166" s="60">
        <f t="shared" si="18"/>
        <v>6</v>
      </c>
      <c r="Z166" s="49">
        <f t="shared" si="19"/>
        <v>145</v>
      </c>
      <c r="AA166" s="60">
        <f t="shared" si="20"/>
        <v>6145</v>
      </c>
    </row>
    <row r="167" spans="1:27">
      <c r="A167" s="83" t="str">
        <f t="shared" si="14"/>
        <v>21005A-CHOivory-navy</v>
      </c>
      <c r="B167" s="83" t="str">
        <f t="shared" si="15"/>
        <v>06-146-70</v>
      </c>
      <c r="C167" s="106" t="s">
        <v>1408</v>
      </c>
      <c r="D167" s="106" t="s">
        <v>1409</v>
      </c>
      <c r="E167" s="106" t="s">
        <v>788</v>
      </c>
      <c r="F167" s="107">
        <v>0</v>
      </c>
      <c r="G167" s="106" t="s">
        <v>1410</v>
      </c>
      <c r="H167" s="106" t="s">
        <v>117</v>
      </c>
      <c r="I167" s="106" t="s">
        <v>848</v>
      </c>
      <c r="J167" s="106" t="s">
        <v>327</v>
      </c>
      <c r="K167" s="106" t="s">
        <v>382</v>
      </c>
      <c r="L167" s="106" t="s">
        <v>884</v>
      </c>
      <c r="M167" s="106" t="s">
        <v>388</v>
      </c>
      <c r="N167" s="106" t="s">
        <v>44</v>
      </c>
      <c r="O167" s="106" t="s">
        <v>386</v>
      </c>
      <c r="P167" s="106" t="s">
        <v>866</v>
      </c>
      <c r="Q167" s="106" t="s">
        <v>1411</v>
      </c>
      <c r="R167" s="106" t="s">
        <v>57</v>
      </c>
      <c r="S167" s="83" t="str">
        <f t="shared" si="16"/>
        <v>21005A-CHO</v>
      </c>
      <c r="T167" s="83" t="str">
        <f t="shared" si="17"/>
        <v>Chicago Orphans Archive MILB</v>
      </c>
      <c r="Y167" s="60">
        <f t="shared" si="18"/>
        <v>6</v>
      </c>
      <c r="Z167" s="49">
        <f t="shared" si="19"/>
        <v>146</v>
      </c>
      <c r="AA167" s="60">
        <f t="shared" si="20"/>
        <v>6146</v>
      </c>
    </row>
    <row r="168" spans="1:27">
      <c r="A168" s="83" t="str">
        <f t="shared" si="14"/>
        <v>21005A-CSPivory-red</v>
      </c>
      <c r="B168" s="83" t="str">
        <f t="shared" si="15"/>
        <v>06-147-45</v>
      </c>
      <c r="C168" s="106" t="s">
        <v>1412</v>
      </c>
      <c r="D168" s="106" t="s">
        <v>1413</v>
      </c>
      <c r="E168" s="106" t="s">
        <v>788</v>
      </c>
      <c r="F168" s="107">
        <v>0</v>
      </c>
      <c r="G168" s="106" t="s">
        <v>1414</v>
      </c>
      <c r="H168" s="106" t="s">
        <v>111</v>
      </c>
      <c r="I168" s="106" t="s">
        <v>848</v>
      </c>
      <c r="J168" s="106" t="s">
        <v>327</v>
      </c>
      <c r="K168" s="106" t="s">
        <v>382</v>
      </c>
      <c r="L168" s="106" t="s">
        <v>884</v>
      </c>
      <c r="M168" s="106" t="s">
        <v>388</v>
      </c>
      <c r="N168" s="106" t="s">
        <v>44</v>
      </c>
      <c r="O168" s="106" t="s">
        <v>386</v>
      </c>
      <c r="P168" s="106" t="s">
        <v>866</v>
      </c>
      <c r="Q168" s="106" t="s">
        <v>1415</v>
      </c>
      <c r="R168" s="106" t="s">
        <v>57</v>
      </c>
      <c r="S168" s="83" t="str">
        <f t="shared" si="16"/>
        <v>21005A-CSP</v>
      </c>
      <c r="T168" s="83" t="str">
        <f t="shared" si="17"/>
        <v>Cleveland Spiders Archive MILB</v>
      </c>
      <c r="Y168" s="60">
        <f t="shared" si="18"/>
        <v>6</v>
      </c>
      <c r="Z168" s="49">
        <f t="shared" si="19"/>
        <v>147</v>
      </c>
      <c r="AA168" s="60">
        <f t="shared" si="20"/>
        <v>6147</v>
      </c>
    </row>
    <row r="169" spans="1:27">
      <c r="A169" s="83" t="str">
        <f t="shared" si="14"/>
        <v>21005A-CUGivory-black</v>
      </c>
      <c r="B169" s="83" t="str">
        <f t="shared" si="15"/>
        <v>06-148-48</v>
      </c>
      <c r="C169" s="106" t="s">
        <v>1416</v>
      </c>
      <c r="D169" s="106" t="s">
        <v>1417</v>
      </c>
      <c r="E169" s="106" t="s">
        <v>788</v>
      </c>
      <c r="F169" s="107">
        <v>0</v>
      </c>
      <c r="G169" s="106" t="s">
        <v>1418</v>
      </c>
      <c r="H169" s="106" t="s">
        <v>119</v>
      </c>
      <c r="I169" s="106" t="s">
        <v>848</v>
      </c>
      <c r="J169" s="106" t="s">
        <v>327</v>
      </c>
      <c r="K169" s="106" t="s">
        <v>382</v>
      </c>
      <c r="L169" s="106" t="s">
        <v>884</v>
      </c>
      <c r="M169" s="106" t="s">
        <v>388</v>
      </c>
      <c r="N169" s="106" t="s">
        <v>44</v>
      </c>
      <c r="O169" s="106" t="s">
        <v>386</v>
      </c>
      <c r="P169" s="106" t="s">
        <v>866</v>
      </c>
      <c r="Q169" s="106" t="s">
        <v>1419</v>
      </c>
      <c r="R169" s="106" t="s">
        <v>57</v>
      </c>
      <c r="S169" s="83" t="str">
        <f t="shared" si="16"/>
        <v>21005A-CUG</v>
      </c>
      <c r="T169" s="83" t="str">
        <f t="shared" si="17"/>
        <v>Chicago Union Giants Archive MILB</v>
      </c>
      <c r="Y169" s="60">
        <f t="shared" si="18"/>
        <v>6</v>
      </c>
      <c r="Z169" s="49">
        <f t="shared" si="19"/>
        <v>148</v>
      </c>
      <c r="AA169" s="60">
        <f t="shared" si="20"/>
        <v>6148</v>
      </c>
    </row>
    <row r="170" spans="1:27">
      <c r="A170" s="83" t="str">
        <f t="shared" si="14"/>
        <v>21005A-DTWivory-navy</v>
      </c>
      <c r="B170" s="83" t="str">
        <f t="shared" si="15"/>
        <v>06-149-70</v>
      </c>
      <c r="C170" s="106" t="s">
        <v>1420</v>
      </c>
      <c r="D170" s="106" t="s">
        <v>1421</v>
      </c>
      <c r="E170" s="106" t="s">
        <v>788</v>
      </c>
      <c r="F170" s="107">
        <v>0</v>
      </c>
      <c r="G170" s="106" t="s">
        <v>1422</v>
      </c>
      <c r="H170" s="106" t="s">
        <v>117</v>
      </c>
      <c r="I170" s="106" t="s">
        <v>848</v>
      </c>
      <c r="J170" s="106" t="s">
        <v>327</v>
      </c>
      <c r="K170" s="106" t="s">
        <v>382</v>
      </c>
      <c r="L170" s="106" t="s">
        <v>884</v>
      </c>
      <c r="M170" s="106" t="s">
        <v>388</v>
      </c>
      <c r="N170" s="106" t="s">
        <v>44</v>
      </c>
      <c r="O170" s="106" t="s">
        <v>386</v>
      </c>
      <c r="P170" s="106" t="s">
        <v>866</v>
      </c>
      <c r="Q170" s="106" t="s">
        <v>1411</v>
      </c>
      <c r="R170" s="106" t="s">
        <v>57</v>
      </c>
      <c r="S170" s="83" t="str">
        <f t="shared" si="16"/>
        <v>21005A-DTW</v>
      </c>
      <c r="T170" s="83" t="str">
        <f t="shared" si="17"/>
        <v>Detroit Wolverines Archive MILB</v>
      </c>
      <c r="Y170" s="60">
        <f t="shared" si="18"/>
        <v>6</v>
      </c>
      <c r="Z170" s="49">
        <f t="shared" si="19"/>
        <v>149</v>
      </c>
      <c r="AA170" s="60">
        <f t="shared" si="20"/>
        <v>6149</v>
      </c>
    </row>
    <row r="171" spans="1:27">
      <c r="A171" s="83" t="str">
        <f t="shared" si="14"/>
        <v>21005A-HOGgrey</v>
      </c>
      <c r="B171" s="83" t="str">
        <f t="shared" si="15"/>
        <v>06-150-01</v>
      </c>
      <c r="C171" s="106" t="s">
        <v>1423</v>
      </c>
      <c r="D171" s="106" t="s">
        <v>1424</v>
      </c>
      <c r="E171" s="106" t="s">
        <v>788</v>
      </c>
      <c r="F171" s="107">
        <v>0</v>
      </c>
      <c r="G171" s="106" t="s">
        <v>1425</v>
      </c>
      <c r="H171" s="106" t="s">
        <v>231</v>
      </c>
      <c r="I171" s="106" t="s">
        <v>848</v>
      </c>
      <c r="J171" s="106" t="s">
        <v>327</v>
      </c>
      <c r="K171" s="106" t="s">
        <v>382</v>
      </c>
      <c r="L171" s="106" t="s">
        <v>884</v>
      </c>
      <c r="M171" s="106" t="s">
        <v>388</v>
      </c>
      <c r="N171" s="106" t="s">
        <v>44</v>
      </c>
      <c r="O171" s="106" t="s">
        <v>386</v>
      </c>
      <c r="P171" s="106" t="s">
        <v>866</v>
      </c>
      <c r="Q171" s="106" t="s">
        <v>787</v>
      </c>
      <c r="R171" s="106" t="s">
        <v>83</v>
      </c>
      <c r="S171" s="83" t="str">
        <f t="shared" si="16"/>
        <v>21005A-HOG</v>
      </c>
      <c r="T171" s="83" t="str">
        <f t="shared" si="17"/>
        <v>Homestead Grays Archive NL</v>
      </c>
      <c r="Y171" s="60">
        <f t="shared" si="18"/>
        <v>6</v>
      </c>
      <c r="Z171" s="49">
        <f t="shared" si="19"/>
        <v>150</v>
      </c>
      <c r="AA171" s="60">
        <f t="shared" si="20"/>
        <v>6150</v>
      </c>
    </row>
    <row r="172" spans="1:27">
      <c r="A172" s="83" t="str">
        <f t="shared" si="14"/>
        <v>21005A-KCMred</v>
      </c>
      <c r="B172" s="83" t="str">
        <f t="shared" si="15"/>
        <v>06-151-18</v>
      </c>
      <c r="C172" s="106" t="s">
        <v>1426</v>
      </c>
      <c r="D172" s="106" t="s">
        <v>1427</v>
      </c>
      <c r="E172" s="106" t="s">
        <v>788</v>
      </c>
      <c r="F172" s="107">
        <v>0</v>
      </c>
      <c r="G172" s="106" t="s">
        <v>1428</v>
      </c>
      <c r="H172" s="106" t="s">
        <v>78</v>
      </c>
      <c r="I172" s="106" t="s">
        <v>848</v>
      </c>
      <c r="J172" s="106" t="s">
        <v>327</v>
      </c>
      <c r="K172" s="106" t="s">
        <v>382</v>
      </c>
      <c r="L172" s="106" t="s">
        <v>884</v>
      </c>
      <c r="M172" s="106" t="s">
        <v>388</v>
      </c>
      <c r="N172" s="106" t="s">
        <v>44</v>
      </c>
      <c r="O172" s="106" t="s">
        <v>386</v>
      </c>
      <c r="P172" s="106" t="s">
        <v>866</v>
      </c>
      <c r="Q172" s="106" t="s">
        <v>822</v>
      </c>
      <c r="R172" s="106" t="s">
        <v>78</v>
      </c>
      <c r="S172" s="83" t="str">
        <f t="shared" si="16"/>
        <v>21005A-KCM</v>
      </c>
      <c r="T172" s="83" t="str">
        <f t="shared" si="17"/>
        <v>Kansas City Monarchs Archive NL</v>
      </c>
      <c r="Y172" s="60">
        <f t="shared" si="18"/>
        <v>6</v>
      </c>
      <c r="Z172" s="49">
        <f t="shared" si="19"/>
        <v>151</v>
      </c>
      <c r="AA172" s="60">
        <f t="shared" si="20"/>
        <v>6151</v>
      </c>
    </row>
    <row r="173" spans="1:27">
      <c r="A173" s="83" t="str">
        <f t="shared" si="14"/>
        <v>21005A-KCPivory-navy</v>
      </c>
      <c r="B173" s="83" t="str">
        <f t="shared" si="15"/>
        <v>06-152-70</v>
      </c>
      <c r="C173" s="106" t="s">
        <v>1429</v>
      </c>
      <c r="D173" s="106" t="s">
        <v>1430</v>
      </c>
      <c r="E173" s="106" t="s">
        <v>788</v>
      </c>
      <c r="F173" s="107">
        <v>0</v>
      </c>
      <c r="G173" s="106" t="s">
        <v>1431</v>
      </c>
      <c r="H173" s="106" t="s">
        <v>117</v>
      </c>
      <c r="I173" s="106" t="s">
        <v>848</v>
      </c>
      <c r="J173" s="106" t="s">
        <v>327</v>
      </c>
      <c r="K173" s="106" t="s">
        <v>382</v>
      </c>
      <c r="L173" s="106" t="s">
        <v>884</v>
      </c>
      <c r="M173" s="106" t="s">
        <v>388</v>
      </c>
      <c r="N173" s="106" t="s">
        <v>44</v>
      </c>
      <c r="O173" s="106" t="s">
        <v>386</v>
      </c>
      <c r="P173" s="106" t="s">
        <v>866</v>
      </c>
      <c r="Q173" s="106" t="s">
        <v>1411</v>
      </c>
      <c r="R173" s="106" t="s">
        <v>57</v>
      </c>
      <c r="S173" s="83" t="str">
        <f t="shared" si="16"/>
        <v>21005A-KCP</v>
      </c>
      <c r="T173" s="83" t="str">
        <f t="shared" si="17"/>
        <v>Kansas City Packers Archive MILB</v>
      </c>
      <c r="Y173" s="60">
        <f t="shared" si="18"/>
        <v>6</v>
      </c>
      <c r="Z173" s="49">
        <f t="shared" si="19"/>
        <v>152</v>
      </c>
      <c r="AA173" s="60">
        <f t="shared" si="20"/>
        <v>6152</v>
      </c>
    </row>
    <row r="174" spans="1:27">
      <c r="A174" s="83" t="str">
        <f t="shared" si="14"/>
        <v>21005A-LCOnavy-red</v>
      </c>
      <c r="B174" s="83" t="str">
        <f t="shared" si="15"/>
        <v>06-153-16</v>
      </c>
      <c r="C174" s="106" t="s">
        <v>1432</v>
      </c>
      <c r="D174" s="106" t="s">
        <v>1433</v>
      </c>
      <c r="E174" s="106" t="s">
        <v>788</v>
      </c>
      <c r="F174" s="107">
        <v>0</v>
      </c>
      <c r="G174" s="106" t="s">
        <v>1434</v>
      </c>
      <c r="H174" s="106" t="s">
        <v>55</v>
      </c>
      <c r="I174" s="106" t="s">
        <v>848</v>
      </c>
      <c r="J174" s="106" t="s">
        <v>327</v>
      </c>
      <c r="K174" s="106" t="s">
        <v>382</v>
      </c>
      <c r="L174" s="106" t="s">
        <v>884</v>
      </c>
      <c r="M174" s="106" t="s">
        <v>388</v>
      </c>
      <c r="N174" s="106" t="s">
        <v>44</v>
      </c>
      <c r="O174" s="106" t="s">
        <v>386</v>
      </c>
      <c r="P174" s="106" t="s">
        <v>866</v>
      </c>
      <c r="Q174" s="106" t="s">
        <v>1435</v>
      </c>
      <c r="R174" s="106" t="s">
        <v>71</v>
      </c>
      <c r="S174" s="83" t="str">
        <f t="shared" si="16"/>
        <v>21005A-LCO</v>
      </c>
      <c r="T174" s="83" t="str">
        <f t="shared" si="17"/>
        <v>Louisville Colonels Archive MILB</v>
      </c>
      <c r="Y174" s="60">
        <f t="shared" si="18"/>
        <v>6</v>
      </c>
      <c r="Z174" s="49">
        <f t="shared" si="19"/>
        <v>153</v>
      </c>
      <c r="AA174" s="60">
        <f t="shared" si="20"/>
        <v>6153</v>
      </c>
    </row>
    <row r="175" spans="1:27">
      <c r="A175" s="83" t="str">
        <f t="shared" si="14"/>
        <v>21005A-NYCnavy</v>
      </c>
      <c r="B175" s="83" t="str">
        <f t="shared" si="15"/>
        <v>06-154-16</v>
      </c>
      <c r="C175" s="106" t="s">
        <v>1436</v>
      </c>
      <c r="D175" s="106" t="s">
        <v>1437</v>
      </c>
      <c r="E175" s="106" t="s">
        <v>788</v>
      </c>
      <c r="F175" s="107">
        <v>0</v>
      </c>
      <c r="G175" s="106" t="s">
        <v>1438</v>
      </c>
      <c r="H175" s="106" t="s">
        <v>55</v>
      </c>
      <c r="I175" s="106" t="s">
        <v>848</v>
      </c>
      <c r="J175" s="106" t="s">
        <v>327</v>
      </c>
      <c r="K175" s="106" t="s">
        <v>382</v>
      </c>
      <c r="L175" s="106" t="s">
        <v>884</v>
      </c>
      <c r="M175" s="106" t="s">
        <v>388</v>
      </c>
      <c r="N175" s="106" t="s">
        <v>44</v>
      </c>
      <c r="O175" s="106" t="s">
        <v>386</v>
      </c>
      <c r="P175" s="106" t="s">
        <v>866</v>
      </c>
      <c r="Q175" s="106" t="s">
        <v>818</v>
      </c>
      <c r="R175" s="106" t="s">
        <v>71</v>
      </c>
      <c r="S175" s="83" t="str">
        <f t="shared" si="16"/>
        <v>21005A-NYC</v>
      </c>
      <c r="T175" s="83" t="str">
        <f t="shared" si="17"/>
        <v>New York Cubans Archive NL</v>
      </c>
      <c r="Y175" s="60">
        <f t="shared" si="18"/>
        <v>6</v>
      </c>
      <c r="Z175" s="49">
        <f t="shared" si="19"/>
        <v>154</v>
      </c>
      <c r="AA175" s="60">
        <f t="shared" si="20"/>
        <v>6154</v>
      </c>
    </row>
    <row r="176" spans="1:27">
      <c r="A176" s="83" t="str">
        <f t="shared" si="14"/>
        <v>21005A-NYKNblack</v>
      </c>
      <c r="B176" s="83" t="str">
        <f t="shared" si="15"/>
        <v>06-155-09</v>
      </c>
      <c r="C176" s="106" t="s">
        <v>1439</v>
      </c>
      <c r="D176" s="106" t="s">
        <v>1440</v>
      </c>
      <c r="E176" s="106" t="s">
        <v>788</v>
      </c>
      <c r="F176" s="107">
        <v>0</v>
      </c>
      <c r="G176" s="106" t="s">
        <v>1441</v>
      </c>
      <c r="H176" s="106" t="s">
        <v>53</v>
      </c>
      <c r="I176" s="106" t="s">
        <v>848</v>
      </c>
      <c r="J176" s="106" t="s">
        <v>327</v>
      </c>
      <c r="K176" s="106" t="s">
        <v>382</v>
      </c>
      <c r="L176" s="106" t="s">
        <v>884</v>
      </c>
      <c r="M176" s="106" t="s">
        <v>388</v>
      </c>
      <c r="N176" s="106" t="s">
        <v>44</v>
      </c>
      <c r="O176" s="106" t="s">
        <v>386</v>
      </c>
      <c r="P176" s="106" t="s">
        <v>866</v>
      </c>
      <c r="Q176" s="106" t="s">
        <v>819</v>
      </c>
      <c r="R176" s="106" t="s">
        <v>53</v>
      </c>
      <c r="S176" s="83" t="str">
        <f t="shared" si="16"/>
        <v>21005A-NYKN</v>
      </c>
      <c r="T176" s="83" t="str">
        <f t="shared" si="17"/>
        <v>New York Knickerbocker Archive MILB</v>
      </c>
      <c r="Y176" s="60">
        <f t="shared" si="18"/>
        <v>6</v>
      </c>
      <c r="Z176" s="49">
        <f t="shared" si="19"/>
        <v>155</v>
      </c>
      <c r="AA176" s="60">
        <f t="shared" si="20"/>
        <v>6155</v>
      </c>
    </row>
    <row r="177" spans="1:27">
      <c r="A177" s="83" t="str">
        <f t="shared" si="14"/>
        <v>21005A-SAFnavy</v>
      </c>
      <c r="B177" s="83" t="str">
        <f t="shared" si="15"/>
        <v>06-156-16</v>
      </c>
      <c r="C177" s="106" t="s">
        <v>1442</v>
      </c>
      <c r="D177" s="106" t="s">
        <v>1443</v>
      </c>
      <c r="E177" s="106" t="s">
        <v>788</v>
      </c>
      <c r="F177" s="107">
        <v>0</v>
      </c>
      <c r="G177" s="106" t="s">
        <v>1444</v>
      </c>
      <c r="H177" s="106" t="s">
        <v>55</v>
      </c>
      <c r="I177" s="106" t="s">
        <v>848</v>
      </c>
      <c r="J177" s="106" t="s">
        <v>327</v>
      </c>
      <c r="K177" s="106" t="s">
        <v>382</v>
      </c>
      <c r="L177" s="106" t="s">
        <v>884</v>
      </c>
      <c r="M177" s="106" t="s">
        <v>388</v>
      </c>
      <c r="N177" s="106" t="s">
        <v>44</v>
      </c>
      <c r="O177" s="106" t="s">
        <v>386</v>
      </c>
      <c r="P177" s="106" t="s">
        <v>866</v>
      </c>
      <c r="Q177" s="106" t="s">
        <v>818</v>
      </c>
      <c r="R177" s="106" t="s">
        <v>71</v>
      </c>
      <c r="S177" s="83" t="str">
        <f t="shared" si="16"/>
        <v>21005A-SAF</v>
      </c>
      <c r="T177" s="83" t="str">
        <f t="shared" si="17"/>
        <v>San Francisco Seals Archive MILB</v>
      </c>
      <c r="Y177" s="60">
        <f t="shared" si="18"/>
        <v>6</v>
      </c>
      <c r="Z177" s="49">
        <f t="shared" si="19"/>
        <v>156</v>
      </c>
      <c r="AA177" s="60">
        <f t="shared" si="20"/>
        <v>6156</v>
      </c>
    </row>
    <row r="178" spans="1:27">
      <c r="A178" s="83" t="str">
        <f t="shared" si="14"/>
        <v>21005A-SERnavy</v>
      </c>
      <c r="B178" s="83" t="str">
        <f t="shared" si="15"/>
        <v>06-157-16</v>
      </c>
      <c r="C178" s="106" t="s">
        <v>1445</v>
      </c>
      <c r="D178" s="106" t="s">
        <v>1446</v>
      </c>
      <c r="E178" s="106" t="s">
        <v>788</v>
      </c>
      <c r="F178" s="107">
        <v>0</v>
      </c>
      <c r="G178" s="106" t="s">
        <v>1447</v>
      </c>
      <c r="H178" s="106" t="s">
        <v>55</v>
      </c>
      <c r="I178" s="106" t="s">
        <v>848</v>
      </c>
      <c r="J178" s="106" t="s">
        <v>327</v>
      </c>
      <c r="K178" s="106" t="s">
        <v>382</v>
      </c>
      <c r="L178" s="106" t="s">
        <v>884</v>
      </c>
      <c r="M178" s="106" t="s">
        <v>388</v>
      </c>
      <c r="N178" s="106" t="s">
        <v>44</v>
      </c>
      <c r="O178" s="106" t="s">
        <v>386</v>
      </c>
      <c r="P178" s="106" t="s">
        <v>866</v>
      </c>
      <c r="Q178" s="106" t="s">
        <v>818</v>
      </c>
      <c r="R178" s="106" t="s">
        <v>71</v>
      </c>
      <c r="S178" s="83" t="str">
        <f t="shared" si="16"/>
        <v>21005A-SER</v>
      </c>
      <c r="T178" s="83" t="str">
        <f t="shared" si="17"/>
        <v>Seattle Rainers Archive MILB</v>
      </c>
      <c r="Y178" s="60">
        <f t="shared" si="18"/>
        <v>6</v>
      </c>
      <c r="Z178" s="49">
        <f t="shared" si="19"/>
        <v>157</v>
      </c>
      <c r="AA178" s="60">
        <f t="shared" si="20"/>
        <v>6157</v>
      </c>
    </row>
    <row r="179" spans="1:27">
      <c r="A179" s="83" t="str">
        <f t="shared" si="14"/>
        <v>21005A-STEnavy</v>
      </c>
      <c r="B179" s="83" t="str">
        <f t="shared" si="15"/>
        <v>06-158-16</v>
      </c>
      <c r="C179" s="106" t="s">
        <v>1448</v>
      </c>
      <c r="D179" s="106" t="s">
        <v>1449</v>
      </c>
      <c r="E179" s="106" t="s">
        <v>788</v>
      </c>
      <c r="F179" s="107">
        <v>0</v>
      </c>
      <c r="G179" s="106" t="s">
        <v>1450</v>
      </c>
      <c r="H179" s="106" t="s">
        <v>55</v>
      </c>
      <c r="I179" s="106" t="s">
        <v>848</v>
      </c>
      <c r="J179" s="106" t="s">
        <v>327</v>
      </c>
      <c r="K179" s="106" t="s">
        <v>382</v>
      </c>
      <c r="L179" s="106" t="s">
        <v>884</v>
      </c>
      <c r="M179" s="106" t="s">
        <v>388</v>
      </c>
      <c r="N179" s="106" t="s">
        <v>44</v>
      </c>
      <c r="O179" s="106" t="s">
        <v>386</v>
      </c>
      <c r="P179" s="106" t="s">
        <v>866</v>
      </c>
      <c r="Q179" s="106" t="s">
        <v>818</v>
      </c>
      <c r="R179" s="106" t="s">
        <v>71</v>
      </c>
      <c r="S179" s="83" t="str">
        <f t="shared" si="16"/>
        <v>21005A-STE</v>
      </c>
      <c r="T179" s="83" t="str">
        <f t="shared" si="17"/>
        <v>Saint Louis Terriers Archive MILB</v>
      </c>
      <c r="Y179" s="60">
        <f t="shared" si="18"/>
        <v>6</v>
      </c>
      <c r="Z179" s="49">
        <f t="shared" si="19"/>
        <v>158</v>
      </c>
      <c r="AA179" s="60">
        <f t="shared" si="20"/>
        <v>6158</v>
      </c>
    </row>
    <row r="180" spans="1:27">
      <c r="A180" s="83" t="str">
        <f t="shared" si="14"/>
        <v>21005A-WHAivory-navy</v>
      </c>
      <c r="B180" s="83" t="str">
        <f t="shared" si="15"/>
        <v>06-159-70</v>
      </c>
      <c r="C180" s="106" t="s">
        <v>1451</v>
      </c>
      <c r="D180" s="106" t="s">
        <v>1452</v>
      </c>
      <c r="E180" s="106" t="s">
        <v>788</v>
      </c>
      <c r="F180" s="107">
        <v>0</v>
      </c>
      <c r="G180" s="106" t="s">
        <v>1453</v>
      </c>
      <c r="H180" s="106" t="s">
        <v>117</v>
      </c>
      <c r="I180" s="106" t="s">
        <v>848</v>
      </c>
      <c r="J180" s="106" t="s">
        <v>327</v>
      </c>
      <c r="K180" s="106" t="s">
        <v>382</v>
      </c>
      <c r="L180" s="106" t="s">
        <v>884</v>
      </c>
      <c r="M180" s="106" t="s">
        <v>388</v>
      </c>
      <c r="N180" s="106" t="s">
        <v>44</v>
      </c>
      <c r="O180" s="106" t="s">
        <v>386</v>
      </c>
      <c r="P180" s="106" t="s">
        <v>866</v>
      </c>
      <c r="Q180" s="106" t="s">
        <v>1411</v>
      </c>
      <c r="R180" s="106" t="s">
        <v>57</v>
      </c>
      <c r="S180" s="83" t="str">
        <f t="shared" si="16"/>
        <v>21005A-WHA</v>
      </c>
      <c r="T180" s="83" t="str">
        <f t="shared" si="17"/>
        <v>Chicago Whales Archive MILB</v>
      </c>
      <c r="Y180" s="60">
        <f t="shared" si="18"/>
        <v>6</v>
      </c>
      <c r="Z180" s="49">
        <f t="shared" si="19"/>
        <v>159</v>
      </c>
      <c r="AA180" s="60">
        <f t="shared" si="20"/>
        <v>6159</v>
      </c>
    </row>
    <row r="181" spans="1:27">
      <c r="A181" s="83" t="str">
        <f t="shared" si="14"/>
        <v>21005A-YOGblack</v>
      </c>
      <c r="B181" s="83" t="str">
        <f t="shared" si="15"/>
        <v>06-160-09</v>
      </c>
      <c r="C181" s="106" t="s">
        <v>1454</v>
      </c>
      <c r="D181" s="106" t="s">
        <v>1455</v>
      </c>
      <c r="E181" s="106" t="s">
        <v>788</v>
      </c>
      <c r="F181" s="107">
        <v>0</v>
      </c>
      <c r="G181" s="106" t="s">
        <v>1456</v>
      </c>
      <c r="H181" s="106" t="s">
        <v>53</v>
      </c>
      <c r="I181" s="106" t="s">
        <v>848</v>
      </c>
      <c r="J181" s="106" t="s">
        <v>327</v>
      </c>
      <c r="K181" s="106" t="s">
        <v>382</v>
      </c>
      <c r="L181" s="106" t="s">
        <v>884</v>
      </c>
      <c r="M181" s="106" t="s">
        <v>388</v>
      </c>
      <c r="N181" s="106" t="s">
        <v>44</v>
      </c>
      <c r="O181" s="106" t="s">
        <v>386</v>
      </c>
      <c r="P181" s="106" t="s">
        <v>866</v>
      </c>
      <c r="Q181" s="106" t="s">
        <v>819</v>
      </c>
      <c r="R181" s="106" t="s">
        <v>53</v>
      </c>
      <c r="S181" s="83" t="str">
        <f t="shared" si="16"/>
        <v>21005A-YOG</v>
      </c>
      <c r="T181" s="83" t="str">
        <f t="shared" si="17"/>
        <v>Yomiuri Giants Archive NPL</v>
      </c>
      <c r="Y181" s="60">
        <f t="shared" si="18"/>
        <v>6</v>
      </c>
      <c r="Z181" s="49">
        <f t="shared" si="19"/>
        <v>160</v>
      </c>
      <c r="AA181" s="60">
        <f t="shared" si="20"/>
        <v>6160</v>
      </c>
    </row>
    <row r="182" spans="1:27">
      <c r="A182" s="83" t="str">
        <f t="shared" si="14"/>
        <v>21006A-COAmar</v>
      </c>
      <c r="B182" s="83" t="str">
        <f t="shared" si="15"/>
        <v>06-161-12</v>
      </c>
      <c r="C182" s="106" t="s">
        <v>1457</v>
      </c>
      <c r="D182" s="106" t="s">
        <v>1458</v>
      </c>
      <c r="E182" s="106" t="s">
        <v>788</v>
      </c>
      <c r="F182" s="107">
        <v>0</v>
      </c>
      <c r="G182" s="106" t="s">
        <v>1459</v>
      </c>
      <c r="H182" s="106" t="s">
        <v>121</v>
      </c>
      <c r="I182" s="106" t="s">
        <v>888</v>
      </c>
      <c r="J182" s="106" t="s">
        <v>792</v>
      </c>
      <c r="K182" s="106" t="s">
        <v>382</v>
      </c>
      <c r="L182" s="106" t="s">
        <v>884</v>
      </c>
      <c r="M182" s="106" t="s">
        <v>388</v>
      </c>
      <c r="N182" s="106" t="s">
        <v>44</v>
      </c>
      <c r="O182" s="106" t="s">
        <v>541</v>
      </c>
      <c r="P182" s="106" t="s">
        <v>866</v>
      </c>
      <c r="Q182" s="106" t="s">
        <v>846</v>
      </c>
      <c r="R182" s="106" t="s">
        <v>121</v>
      </c>
      <c r="S182" s="83" t="str">
        <f t="shared" si="16"/>
        <v>21006A-COA</v>
      </c>
      <c r="T182" s="83" t="str">
        <f t="shared" si="17"/>
        <v>Colorado Avalanche Archive 400 NHL</v>
      </c>
      <c r="Y182" s="60">
        <f t="shared" si="18"/>
        <v>6</v>
      </c>
      <c r="Z182" s="49">
        <f t="shared" si="19"/>
        <v>161</v>
      </c>
      <c r="AA182" s="60">
        <f t="shared" si="20"/>
        <v>6161</v>
      </c>
    </row>
    <row r="183" spans="1:27">
      <c r="A183" s="83" t="str">
        <f t="shared" si="14"/>
        <v>21006A-HOGgrey</v>
      </c>
      <c r="B183" s="83" t="str">
        <f t="shared" si="15"/>
        <v>06-162-01</v>
      </c>
      <c r="C183" s="106" t="s">
        <v>1460</v>
      </c>
      <c r="D183" s="106" t="s">
        <v>1461</v>
      </c>
      <c r="E183" s="106" t="s">
        <v>788</v>
      </c>
      <c r="F183" s="107">
        <v>0</v>
      </c>
      <c r="G183" s="106" t="s">
        <v>1462</v>
      </c>
      <c r="H183" s="106" t="s">
        <v>231</v>
      </c>
      <c r="I183" s="106" t="s">
        <v>1463</v>
      </c>
      <c r="J183" s="106" t="s">
        <v>792</v>
      </c>
      <c r="K183" s="106" t="s">
        <v>382</v>
      </c>
      <c r="L183" s="106" t="s">
        <v>884</v>
      </c>
      <c r="M183" s="106" t="s">
        <v>388</v>
      </c>
      <c r="N183" s="106" t="s">
        <v>44</v>
      </c>
      <c r="O183" s="106" t="s">
        <v>541</v>
      </c>
      <c r="P183" s="106" t="s">
        <v>866</v>
      </c>
      <c r="Q183" s="106" t="s">
        <v>787</v>
      </c>
      <c r="R183" s="106" t="s">
        <v>83</v>
      </c>
      <c r="S183" s="83" t="str">
        <f t="shared" si="16"/>
        <v>21006A-HOG</v>
      </c>
      <c r="T183" s="83" t="str">
        <f t="shared" si="17"/>
        <v>Homestead Grays Archive 400 NL</v>
      </c>
      <c r="Y183" s="60">
        <f t="shared" si="18"/>
        <v>6</v>
      </c>
      <c r="Z183" s="49">
        <f t="shared" si="19"/>
        <v>162</v>
      </c>
      <c r="AA183" s="60">
        <f t="shared" si="20"/>
        <v>6162</v>
      </c>
    </row>
    <row r="184" spans="1:27">
      <c r="A184" s="83" t="str">
        <f t="shared" si="14"/>
        <v>21006A-LOSnavy</v>
      </c>
      <c r="B184" s="83" t="str">
        <f t="shared" si="15"/>
        <v>06-163-16</v>
      </c>
      <c r="C184" s="106" t="s">
        <v>1464</v>
      </c>
      <c r="D184" s="106" t="s">
        <v>1465</v>
      </c>
      <c r="E184" s="106" t="s">
        <v>788</v>
      </c>
      <c r="F184" s="107">
        <v>0</v>
      </c>
      <c r="G184" s="106" t="s">
        <v>1466</v>
      </c>
      <c r="H184" s="106" t="s">
        <v>55</v>
      </c>
      <c r="I184" s="106" t="s">
        <v>888</v>
      </c>
      <c r="J184" s="106" t="s">
        <v>792</v>
      </c>
      <c r="K184" s="106" t="s">
        <v>382</v>
      </c>
      <c r="L184" s="106" t="s">
        <v>884</v>
      </c>
      <c r="M184" s="106" t="s">
        <v>388</v>
      </c>
      <c r="N184" s="106" t="s">
        <v>44</v>
      </c>
      <c r="O184" s="106" t="s">
        <v>541</v>
      </c>
      <c r="P184" s="106" t="s">
        <v>866</v>
      </c>
      <c r="Q184" s="106" t="s">
        <v>818</v>
      </c>
      <c r="R184" s="106" t="s">
        <v>71</v>
      </c>
      <c r="S184" s="83" t="str">
        <f t="shared" si="16"/>
        <v>21006A-LOS</v>
      </c>
      <c r="T184" s="83" t="str">
        <f t="shared" si="17"/>
        <v>Los Angeles Angels Archive 400 MILB</v>
      </c>
      <c r="Y184" s="60">
        <f t="shared" si="18"/>
        <v>6</v>
      </c>
      <c r="Z184" s="49">
        <f t="shared" si="19"/>
        <v>163</v>
      </c>
      <c r="AA184" s="60">
        <f t="shared" si="20"/>
        <v>6163</v>
      </c>
    </row>
    <row r="185" spans="1:27">
      <c r="A185" s="83" t="str">
        <f t="shared" si="14"/>
        <v>21006A-NBYblack</v>
      </c>
      <c r="B185" s="83" t="str">
        <f t="shared" si="15"/>
        <v>06-164-09</v>
      </c>
      <c r="C185" s="106" t="s">
        <v>1467</v>
      </c>
      <c r="D185" s="106" t="s">
        <v>1468</v>
      </c>
      <c r="E185" s="106" t="s">
        <v>788</v>
      </c>
      <c r="F185" s="107">
        <v>0</v>
      </c>
      <c r="G185" s="106" t="s">
        <v>1469</v>
      </c>
      <c r="H185" s="106" t="s">
        <v>53</v>
      </c>
      <c r="I185" s="106" t="s">
        <v>888</v>
      </c>
      <c r="J185" s="106" t="s">
        <v>792</v>
      </c>
      <c r="K185" s="106" t="s">
        <v>382</v>
      </c>
      <c r="L185" s="106" t="s">
        <v>884</v>
      </c>
      <c r="M185" s="106" t="s">
        <v>388</v>
      </c>
      <c r="N185" s="106" t="s">
        <v>44</v>
      </c>
      <c r="O185" s="106" t="s">
        <v>541</v>
      </c>
      <c r="P185" s="106" t="s">
        <v>866</v>
      </c>
      <c r="Q185" s="106" t="s">
        <v>819</v>
      </c>
      <c r="R185" s="106" t="s">
        <v>53</v>
      </c>
      <c r="S185" s="83" t="str">
        <f t="shared" si="16"/>
        <v>21006A-NBY</v>
      </c>
      <c r="T185" s="83" t="str">
        <f t="shared" si="17"/>
        <v>New York Black Yankees Archive 400 NL</v>
      </c>
      <c r="Y185" s="60">
        <f t="shared" si="18"/>
        <v>6</v>
      </c>
      <c r="Z185" s="49">
        <f t="shared" si="19"/>
        <v>164</v>
      </c>
      <c r="AA185" s="60">
        <f t="shared" si="20"/>
        <v>6164</v>
      </c>
    </row>
    <row r="186" spans="1:27">
      <c r="A186" s="83" t="str">
        <f t="shared" si="14"/>
        <v>21006A-NYCnavy</v>
      </c>
      <c r="B186" s="83" t="str">
        <f t="shared" si="15"/>
        <v>06-165-16</v>
      </c>
      <c r="C186" s="106" t="s">
        <v>1470</v>
      </c>
      <c r="D186" s="106" t="s">
        <v>1471</v>
      </c>
      <c r="E186" s="106" t="s">
        <v>788</v>
      </c>
      <c r="F186" s="107">
        <v>0</v>
      </c>
      <c r="G186" s="106" t="s">
        <v>1472</v>
      </c>
      <c r="H186" s="106" t="s">
        <v>55</v>
      </c>
      <c r="I186" s="106" t="s">
        <v>888</v>
      </c>
      <c r="J186" s="106" t="s">
        <v>792</v>
      </c>
      <c r="K186" s="106" t="s">
        <v>382</v>
      </c>
      <c r="L186" s="106" t="s">
        <v>884</v>
      </c>
      <c r="M186" s="106" t="s">
        <v>388</v>
      </c>
      <c r="N186" s="106" t="s">
        <v>44</v>
      </c>
      <c r="O186" s="106" t="s">
        <v>541</v>
      </c>
      <c r="P186" s="106" t="s">
        <v>866</v>
      </c>
      <c r="Q186" s="106" t="s">
        <v>818</v>
      </c>
      <c r="R186" s="106" t="s">
        <v>71</v>
      </c>
      <c r="S186" s="83" t="str">
        <f t="shared" si="16"/>
        <v>21006A-NYC</v>
      </c>
      <c r="T186" s="83" t="str">
        <f t="shared" si="17"/>
        <v>New York Cubans Archive 400 NL</v>
      </c>
      <c r="Y186" s="60">
        <f t="shared" si="18"/>
        <v>6</v>
      </c>
      <c r="Z186" s="49">
        <f t="shared" si="19"/>
        <v>165</v>
      </c>
      <c r="AA186" s="60">
        <f t="shared" si="20"/>
        <v>6165</v>
      </c>
    </row>
    <row r="187" spans="1:27">
      <c r="A187" s="83" t="str">
        <f t="shared" si="14"/>
        <v>21006A-SJSblte</v>
      </c>
      <c r="B187" s="83" t="str">
        <f t="shared" si="15"/>
        <v>06-166-62</v>
      </c>
      <c r="C187" s="106" t="s">
        <v>1473</v>
      </c>
      <c r="D187" s="106" t="s">
        <v>1474</v>
      </c>
      <c r="E187" s="106" t="s">
        <v>788</v>
      </c>
      <c r="F187" s="107">
        <v>0</v>
      </c>
      <c r="G187" s="106" t="s">
        <v>1475</v>
      </c>
      <c r="H187" s="106" t="s">
        <v>296</v>
      </c>
      <c r="I187" s="106" t="s">
        <v>888</v>
      </c>
      <c r="J187" s="106" t="s">
        <v>792</v>
      </c>
      <c r="K187" s="106" t="s">
        <v>382</v>
      </c>
      <c r="L187" s="106" t="s">
        <v>884</v>
      </c>
      <c r="M187" s="106" t="s">
        <v>388</v>
      </c>
      <c r="N187" s="106" t="s">
        <v>44</v>
      </c>
      <c r="O187" s="106" t="s">
        <v>541</v>
      </c>
      <c r="P187" s="106" t="s">
        <v>866</v>
      </c>
      <c r="Q187" s="106" t="s">
        <v>1476</v>
      </c>
      <c r="R187" s="106" t="s">
        <v>53</v>
      </c>
      <c r="S187" s="83" t="str">
        <f t="shared" si="16"/>
        <v>21006A-SJS</v>
      </c>
      <c r="T187" s="83" t="str">
        <f t="shared" si="17"/>
        <v>San Jose Sharks Archive 400 NHL</v>
      </c>
      <c r="Y187" s="60">
        <f t="shared" si="18"/>
        <v>6</v>
      </c>
      <c r="Z187" s="49">
        <f t="shared" si="19"/>
        <v>166</v>
      </c>
      <c r="AA187" s="60">
        <f t="shared" si="20"/>
        <v>6166</v>
      </c>
    </row>
    <row r="188" spans="1:27">
      <c r="A188" s="83" t="str">
        <f t="shared" si="14"/>
        <v>21006A-TMLroy</v>
      </c>
      <c r="B188" s="83" t="str">
        <f t="shared" si="15"/>
        <v>06-167-06</v>
      </c>
      <c r="C188" s="106" t="s">
        <v>1477</v>
      </c>
      <c r="D188" s="106" t="s">
        <v>1478</v>
      </c>
      <c r="E188" s="106" t="s">
        <v>788</v>
      </c>
      <c r="F188" s="107">
        <v>0</v>
      </c>
      <c r="G188" s="106" t="s">
        <v>1479</v>
      </c>
      <c r="H188" s="106" t="s">
        <v>71</v>
      </c>
      <c r="I188" s="106" t="s">
        <v>888</v>
      </c>
      <c r="J188" s="106" t="s">
        <v>792</v>
      </c>
      <c r="K188" s="106" t="s">
        <v>382</v>
      </c>
      <c r="L188" s="106" t="s">
        <v>884</v>
      </c>
      <c r="M188" s="106" t="s">
        <v>388</v>
      </c>
      <c r="N188" s="106" t="s">
        <v>44</v>
      </c>
      <c r="O188" s="106" t="s">
        <v>541</v>
      </c>
      <c r="P188" s="106" t="s">
        <v>866</v>
      </c>
      <c r="Q188" s="106" t="s">
        <v>917</v>
      </c>
      <c r="R188" s="106" t="s">
        <v>71</v>
      </c>
      <c r="S188" s="83" t="str">
        <f t="shared" si="16"/>
        <v>21006A-TML</v>
      </c>
      <c r="T188" s="83" t="str">
        <f t="shared" si="17"/>
        <v>Toronto Maple Leafs Archive 400 NHL</v>
      </c>
      <c r="Y188" s="60">
        <f t="shared" si="18"/>
        <v>6</v>
      </c>
      <c r="Z188" s="49">
        <f t="shared" si="19"/>
        <v>167</v>
      </c>
      <c r="AA188" s="60">
        <f t="shared" si="20"/>
        <v>6167</v>
      </c>
    </row>
    <row r="189" spans="1:27">
      <c r="A189" s="83" t="str">
        <f t="shared" si="14"/>
        <v>21006A-WPJroyal-red</v>
      </c>
      <c r="B189" s="83" t="str">
        <f t="shared" si="15"/>
        <v>06-168-21</v>
      </c>
      <c r="C189" s="106" t="s">
        <v>1480</v>
      </c>
      <c r="D189" s="106" t="s">
        <v>1481</v>
      </c>
      <c r="E189" s="106" t="s">
        <v>788</v>
      </c>
      <c r="F189" s="107">
        <v>0</v>
      </c>
      <c r="G189" s="106" t="s">
        <v>1482</v>
      </c>
      <c r="H189" s="106" t="s">
        <v>252</v>
      </c>
      <c r="I189" s="106" t="s">
        <v>888</v>
      </c>
      <c r="J189" s="106" t="s">
        <v>792</v>
      </c>
      <c r="K189" s="106" t="s">
        <v>382</v>
      </c>
      <c r="L189" s="106" t="s">
        <v>884</v>
      </c>
      <c r="M189" s="106" t="s">
        <v>388</v>
      </c>
      <c r="N189" s="106" t="s">
        <v>44</v>
      </c>
      <c r="O189" s="106" t="s">
        <v>541</v>
      </c>
      <c r="P189" s="106" t="s">
        <v>866</v>
      </c>
      <c r="Q189" s="106" t="s">
        <v>1483</v>
      </c>
      <c r="R189" s="106" t="s">
        <v>71</v>
      </c>
      <c r="S189" s="83" t="str">
        <f t="shared" si="16"/>
        <v>21006A-WPJ</v>
      </c>
      <c r="T189" s="83" t="str">
        <f t="shared" si="17"/>
        <v>Winnipeg Jets Archive 400 NHL</v>
      </c>
      <c r="Y189" s="60">
        <f t="shared" si="18"/>
        <v>6</v>
      </c>
      <c r="Z189" s="49">
        <f t="shared" si="19"/>
        <v>168</v>
      </c>
      <c r="AA189" s="60">
        <f t="shared" si="20"/>
        <v>6168</v>
      </c>
    </row>
    <row r="190" spans="1:27">
      <c r="A190" s="83" t="str">
        <f t="shared" si="14"/>
        <v>21007A-CAnavy</v>
      </c>
      <c r="B190" s="83" t="str">
        <f t="shared" si="15"/>
        <v>06-169-62</v>
      </c>
      <c r="C190" s="106" t="s">
        <v>1484</v>
      </c>
      <c r="D190" s="106" t="s">
        <v>1485</v>
      </c>
      <c r="E190" s="106" t="s">
        <v>788</v>
      </c>
      <c r="F190" s="107">
        <v>0</v>
      </c>
      <c r="G190" s="106" t="s">
        <v>1486</v>
      </c>
      <c r="H190" s="106" t="s">
        <v>681</v>
      </c>
      <c r="I190" s="106" t="s">
        <v>786</v>
      </c>
      <c r="J190" s="106" t="s">
        <v>356</v>
      </c>
      <c r="K190" s="106" t="s">
        <v>382</v>
      </c>
      <c r="L190" s="106" t="s">
        <v>880</v>
      </c>
      <c r="M190" s="106" t="s">
        <v>388</v>
      </c>
      <c r="N190" s="106" t="s">
        <v>43</v>
      </c>
      <c r="O190" s="106" t="s">
        <v>386</v>
      </c>
      <c r="P190" s="106" t="s">
        <v>866</v>
      </c>
      <c r="Q190" s="106" t="s">
        <v>818</v>
      </c>
      <c r="R190" s="106" t="s">
        <v>91</v>
      </c>
      <c r="S190" s="83" t="str">
        <f t="shared" si="16"/>
        <v>21007A-CA</v>
      </c>
      <c r="T190" s="83" t="str">
        <f t="shared" si="17"/>
        <v>California Surf Tri-Color</v>
      </c>
      <c r="Y190" s="60">
        <f t="shared" si="18"/>
        <v>6</v>
      </c>
      <c r="Z190" s="49">
        <f t="shared" si="19"/>
        <v>169</v>
      </c>
      <c r="AA190" s="60">
        <f t="shared" si="20"/>
        <v>6169</v>
      </c>
    </row>
    <row r="191" spans="1:27">
      <c r="A191" s="83" t="str">
        <f t="shared" si="14"/>
        <v>21007A-DAYTONAivory-black</v>
      </c>
      <c r="B191" s="83" t="str">
        <f t="shared" si="15"/>
        <v>06-170-53</v>
      </c>
      <c r="C191" s="106" t="s">
        <v>1487</v>
      </c>
      <c r="D191" s="106" t="s">
        <v>1488</v>
      </c>
      <c r="E191" s="106" t="s">
        <v>788</v>
      </c>
      <c r="F191" s="107">
        <v>0</v>
      </c>
      <c r="G191" s="106" t="s">
        <v>1489</v>
      </c>
      <c r="H191" s="106" t="s">
        <v>304</v>
      </c>
      <c r="I191" s="106" t="s">
        <v>786</v>
      </c>
      <c r="J191" s="106" t="s">
        <v>356</v>
      </c>
      <c r="K191" s="106" t="s">
        <v>382</v>
      </c>
      <c r="L191" s="106" t="s">
        <v>1358</v>
      </c>
      <c r="M191" s="106" t="s">
        <v>388</v>
      </c>
      <c r="N191" s="106" t="s">
        <v>43</v>
      </c>
      <c r="O191" s="106" t="s">
        <v>386</v>
      </c>
      <c r="P191" s="106" t="s">
        <v>866</v>
      </c>
      <c r="Q191" s="106" t="s">
        <v>1419</v>
      </c>
      <c r="R191" s="106" t="s">
        <v>53</v>
      </c>
      <c r="S191" s="83" t="str">
        <f t="shared" si="16"/>
        <v>21007A-DAYTONA</v>
      </c>
      <c r="T191" s="83" t="str">
        <f t="shared" si="17"/>
        <v>Daytona Tri-Color</v>
      </c>
      <c r="Y191" s="60">
        <f t="shared" si="18"/>
        <v>6</v>
      </c>
      <c r="Z191" s="49">
        <f t="shared" si="19"/>
        <v>170</v>
      </c>
      <c r="AA191" s="60">
        <f t="shared" si="20"/>
        <v>6170</v>
      </c>
    </row>
    <row r="192" spans="1:27">
      <c r="A192" s="83" t="str">
        <f t="shared" si="14"/>
        <v>21007A-NASAblue-royal</v>
      </c>
      <c r="B192" s="83" t="str">
        <f t="shared" si="15"/>
        <v>06-171-06</v>
      </c>
      <c r="C192" s="106" t="s">
        <v>1490</v>
      </c>
      <c r="D192" s="106" t="s">
        <v>1491</v>
      </c>
      <c r="E192" s="106" t="s">
        <v>788</v>
      </c>
      <c r="F192" s="107">
        <v>0</v>
      </c>
      <c r="G192" s="106" t="s">
        <v>1492</v>
      </c>
      <c r="H192" s="106" t="s">
        <v>249</v>
      </c>
      <c r="I192" s="106" t="s">
        <v>786</v>
      </c>
      <c r="J192" s="106" t="s">
        <v>356</v>
      </c>
      <c r="K192" s="106" t="s">
        <v>382</v>
      </c>
      <c r="L192" s="106" t="s">
        <v>873</v>
      </c>
      <c r="M192" s="106" t="s">
        <v>388</v>
      </c>
      <c r="N192" s="106" t="s">
        <v>43</v>
      </c>
      <c r="O192" s="106" t="s">
        <v>386</v>
      </c>
      <c r="P192" s="106" t="s">
        <v>866</v>
      </c>
      <c r="Q192" s="106" t="s">
        <v>1493</v>
      </c>
      <c r="R192" s="106" t="s">
        <v>71</v>
      </c>
      <c r="S192" s="83" t="str">
        <f t="shared" si="16"/>
        <v>21007A-NASA</v>
      </c>
      <c r="T192" s="83" t="str">
        <f t="shared" si="17"/>
        <v>Space with NASA Tri-Color</v>
      </c>
      <c r="Y192" s="60">
        <f t="shared" si="18"/>
        <v>6</v>
      </c>
      <c r="Z192" s="49">
        <f t="shared" si="19"/>
        <v>171</v>
      </c>
      <c r="AA192" s="60">
        <f t="shared" si="20"/>
        <v>6171</v>
      </c>
    </row>
    <row r="193" spans="1:27">
      <c r="A193" s="83" t="str">
        <f t="shared" si="14"/>
        <v>21010A-CORVETTEivory red</v>
      </c>
      <c r="B193" s="83" t="str">
        <f t="shared" si="15"/>
        <v>06-172-18</v>
      </c>
      <c r="C193" s="106" t="s">
        <v>1494</v>
      </c>
      <c r="D193" s="106" t="s">
        <v>1495</v>
      </c>
      <c r="E193" s="106" t="s">
        <v>788</v>
      </c>
      <c r="F193" s="107">
        <v>0</v>
      </c>
      <c r="G193" s="106" t="s">
        <v>1496</v>
      </c>
      <c r="H193" s="106" t="s">
        <v>179</v>
      </c>
      <c r="I193" s="106" t="s">
        <v>786</v>
      </c>
      <c r="J193" s="106" t="s">
        <v>356</v>
      </c>
      <c r="K193" s="106" t="s">
        <v>382</v>
      </c>
      <c r="L193" s="106" t="s">
        <v>1358</v>
      </c>
      <c r="M193" s="106" t="s">
        <v>388</v>
      </c>
      <c r="N193" s="106" t="s">
        <v>43</v>
      </c>
      <c r="O193" s="106" t="s">
        <v>386</v>
      </c>
      <c r="P193" s="106" t="s">
        <v>866</v>
      </c>
      <c r="Q193" s="106" t="s">
        <v>1497</v>
      </c>
      <c r="R193" s="106" t="s">
        <v>78</v>
      </c>
      <c r="S193" s="83" t="str">
        <f t="shared" si="16"/>
        <v>21010A-CORVETTE</v>
      </c>
      <c r="T193" s="83" t="str">
        <f t="shared" si="17"/>
        <v>Corvette VMoto Valin</v>
      </c>
      <c r="Y193" s="60">
        <f t="shared" si="18"/>
        <v>6</v>
      </c>
      <c r="Z193" s="49">
        <f t="shared" si="19"/>
        <v>172</v>
      </c>
      <c r="AA193" s="60">
        <f t="shared" si="20"/>
        <v>6172</v>
      </c>
    </row>
    <row r="194" spans="1:27">
      <c r="A194" s="83" t="str">
        <f t="shared" si="14"/>
        <v>21010A-TXWRLDcore</v>
      </c>
      <c r="B194" s="83" t="str">
        <f t="shared" si="15"/>
        <v>06-173-06</v>
      </c>
      <c r="C194" s="106" t="s">
        <v>1498</v>
      </c>
      <c r="D194" s="106" t="s">
        <v>1499</v>
      </c>
      <c r="E194" s="106" t="s">
        <v>788</v>
      </c>
      <c r="F194" s="107">
        <v>0</v>
      </c>
      <c r="G194" s="106" t="s">
        <v>1500</v>
      </c>
      <c r="H194" s="106" t="s">
        <v>71</v>
      </c>
      <c r="I194" s="106" t="s">
        <v>786</v>
      </c>
      <c r="J194" s="106" t="s">
        <v>356</v>
      </c>
      <c r="K194" s="106" t="s">
        <v>382</v>
      </c>
      <c r="L194" s="106" t="s">
        <v>880</v>
      </c>
      <c r="M194" s="106" t="s">
        <v>388</v>
      </c>
      <c r="N194" s="106" t="s">
        <v>43</v>
      </c>
      <c r="O194" s="106" t="s">
        <v>386</v>
      </c>
      <c r="P194" s="106" t="s">
        <v>866</v>
      </c>
      <c r="Q194" s="106" t="s">
        <v>1501</v>
      </c>
      <c r="R194" s="106" t="s">
        <v>71</v>
      </c>
      <c r="S194" s="83" t="str">
        <f t="shared" si="16"/>
        <v>21010A-TXWRLD</v>
      </c>
      <c r="T194" s="83" t="str">
        <f t="shared" si="17"/>
        <v>Texas World Speedway VMoto Valin</v>
      </c>
      <c r="Y194" s="60">
        <f t="shared" si="18"/>
        <v>6</v>
      </c>
      <c r="Z194" s="49">
        <f t="shared" si="19"/>
        <v>173</v>
      </c>
      <c r="AA194" s="60">
        <f t="shared" si="20"/>
        <v>6173</v>
      </c>
    </row>
    <row r="195" spans="1:27">
      <c r="A195" s="83" t="str">
        <f t="shared" ref="A195:A258" si="21">IF(G195&amp;Q195&lt;&gt;"",S195&amp;Q195,"")</f>
        <v>21012A-CAblack</v>
      </c>
      <c r="B195" s="83" t="str">
        <f t="shared" ref="B195:B258" si="22">IF(C195&lt;&gt;"",LEFT(C195,9),"")</f>
        <v>06-174-09</v>
      </c>
      <c r="C195" s="106" t="s">
        <v>1502</v>
      </c>
      <c r="D195" s="106" t="s">
        <v>1503</v>
      </c>
      <c r="E195" s="106" t="s">
        <v>791</v>
      </c>
      <c r="F195" s="107">
        <v>56</v>
      </c>
      <c r="G195" s="106" t="s">
        <v>1504</v>
      </c>
      <c r="H195" s="106" t="s">
        <v>53</v>
      </c>
      <c r="I195" s="106" t="s">
        <v>786</v>
      </c>
      <c r="J195" s="106" t="s">
        <v>325</v>
      </c>
      <c r="K195" s="106" t="s">
        <v>382</v>
      </c>
      <c r="L195" s="106" t="s">
        <v>880</v>
      </c>
      <c r="M195" s="106" t="s">
        <v>388</v>
      </c>
      <c r="N195" s="106" t="s">
        <v>43</v>
      </c>
      <c r="O195" s="106" t="s">
        <v>541</v>
      </c>
      <c r="P195" s="106" t="s">
        <v>866</v>
      </c>
      <c r="Q195" s="106" t="s">
        <v>819</v>
      </c>
      <c r="R195" s="106" t="s">
        <v>53</v>
      </c>
      <c r="S195" s="83" t="str">
        <f t="shared" ref="S195:S258" si="23">IF(G195&lt;&gt;"",IF(StyleSpaceSplit,IFERROR(IF(FIND(" ",G195)&gt;=1,MID(G195,1,FIND(" ",G195)-1),G195),G195),G195),"")</f>
        <v>21012A-CA</v>
      </c>
      <c r="T195" s="83" t="str">
        <f t="shared" ref="T195:T258" si="24">IF(A195&lt;&gt;"",IFERROR(IF(FIND(" ",G195)&gt;=1,MID(G195,FIND(" ",G195)+1,LEN(G195)),""),G195),"")</f>
        <v>California Twill Screen</v>
      </c>
      <c r="Y195" s="60">
        <f t="shared" ref="Y195:Y258" si="25">IFERROR(VALUE(MID($C195,1,2)),0)</f>
        <v>6</v>
      </c>
      <c r="Z195" s="49">
        <f t="shared" ref="Z195:Z258" si="26">IFERROR(VALUE(MID($C195,4,3)),0)</f>
        <v>174</v>
      </c>
      <c r="AA195" s="60">
        <f t="shared" ref="AA195:AA258" si="27">VALUE(RIGHT("00"&amp;Y195,2)&amp;RIGHT("000"&amp;Z195,3))</f>
        <v>6174</v>
      </c>
    </row>
    <row r="196" spans="1:27">
      <c r="A196" s="83" t="str">
        <f t="shared" si="21"/>
        <v>21012A-CAblack</v>
      </c>
      <c r="B196" s="83" t="str">
        <f t="shared" si="22"/>
        <v>06-174-09</v>
      </c>
      <c r="C196" s="106" t="s">
        <v>1505</v>
      </c>
      <c r="D196" s="106" t="s">
        <v>1503</v>
      </c>
      <c r="E196" s="106" t="s">
        <v>829</v>
      </c>
      <c r="F196" s="107">
        <v>60</v>
      </c>
      <c r="G196" s="106" t="s">
        <v>1504</v>
      </c>
      <c r="H196" s="106" t="s">
        <v>53</v>
      </c>
      <c r="I196" s="106" t="s">
        <v>786</v>
      </c>
      <c r="J196" s="106" t="s">
        <v>325</v>
      </c>
      <c r="K196" s="106" t="s">
        <v>382</v>
      </c>
      <c r="L196" s="106" t="s">
        <v>880</v>
      </c>
      <c r="M196" s="106" t="s">
        <v>388</v>
      </c>
      <c r="N196" s="106" t="s">
        <v>43</v>
      </c>
      <c r="O196" s="106" t="s">
        <v>541</v>
      </c>
      <c r="P196" s="106" t="s">
        <v>866</v>
      </c>
      <c r="Q196" s="106" t="s">
        <v>819</v>
      </c>
      <c r="R196" s="106" t="s">
        <v>53</v>
      </c>
      <c r="S196" s="83" t="str">
        <f t="shared" si="23"/>
        <v>21012A-CA</v>
      </c>
      <c r="T196" s="83" t="str">
        <f t="shared" si="24"/>
        <v>California Twill Screen</v>
      </c>
      <c r="Y196" s="60">
        <f t="shared" si="25"/>
        <v>6</v>
      </c>
      <c r="Z196" s="49">
        <f t="shared" si="26"/>
        <v>174</v>
      </c>
      <c r="AA196" s="60">
        <f t="shared" si="27"/>
        <v>6174</v>
      </c>
    </row>
    <row r="197" spans="1:27">
      <c r="A197" s="83" t="str">
        <f t="shared" si="21"/>
        <v>21012A-CALInavy</v>
      </c>
      <c r="B197" s="83" t="str">
        <f t="shared" si="22"/>
        <v>06-175-16</v>
      </c>
      <c r="C197" s="106" t="s">
        <v>1506</v>
      </c>
      <c r="D197" s="106" t="s">
        <v>1507</v>
      </c>
      <c r="E197" s="106" t="s">
        <v>791</v>
      </c>
      <c r="F197" s="107">
        <v>56</v>
      </c>
      <c r="G197" s="106" t="s">
        <v>1508</v>
      </c>
      <c r="H197" s="106" t="s">
        <v>55</v>
      </c>
      <c r="I197" s="106" t="s">
        <v>786</v>
      </c>
      <c r="J197" s="106" t="s">
        <v>325</v>
      </c>
      <c r="K197" s="106" t="s">
        <v>382</v>
      </c>
      <c r="L197" s="106" t="s">
        <v>880</v>
      </c>
      <c r="M197" s="106" t="s">
        <v>388</v>
      </c>
      <c r="N197" s="106" t="s">
        <v>43</v>
      </c>
      <c r="O197" s="106" t="s">
        <v>541</v>
      </c>
      <c r="P197" s="106" t="s">
        <v>866</v>
      </c>
      <c r="Q197" s="106" t="s">
        <v>818</v>
      </c>
      <c r="R197" s="106" t="s">
        <v>71</v>
      </c>
      <c r="S197" s="83" t="str">
        <f t="shared" si="23"/>
        <v>21012A-CALI</v>
      </c>
      <c r="T197" s="83" t="str">
        <f t="shared" si="24"/>
        <v>California Twill Screen</v>
      </c>
      <c r="Y197" s="60">
        <f t="shared" si="25"/>
        <v>6</v>
      </c>
      <c r="Z197" s="49">
        <f t="shared" si="26"/>
        <v>175</v>
      </c>
      <c r="AA197" s="60">
        <f t="shared" si="27"/>
        <v>6175</v>
      </c>
    </row>
    <row r="198" spans="1:27">
      <c r="A198" s="83" t="str">
        <f t="shared" si="21"/>
        <v>21012A-CALInavy</v>
      </c>
      <c r="B198" s="83" t="str">
        <f t="shared" si="22"/>
        <v>06-175-16</v>
      </c>
      <c r="C198" s="106" t="s">
        <v>1509</v>
      </c>
      <c r="D198" s="106" t="s">
        <v>1507</v>
      </c>
      <c r="E198" s="106" t="s">
        <v>829</v>
      </c>
      <c r="F198" s="107">
        <v>60</v>
      </c>
      <c r="G198" s="106" t="s">
        <v>1508</v>
      </c>
      <c r="H198" s="106" t="s">
        <v>55</v>
      </c>
      <c r="I198" s="106" t="s">
        <v>786</v>
      </c>
      <c r="J198" s="106" t="s">
        <v>325</v>
      </c>
      <c r="K198" s="106" t="s">
        <v>382</v>
      </c>
      <c r="L198" s="106" t="s">
        <v>880</v>
      </c>
      <c r="M198" s="106" t="s">
        <v>388</v>
      </c>
      <c r="N198" s="106" t="s">
        <v>43</v>
      </c>
      <c r="O198" s="106" t="s">
        <v>541</v>
      </c>
      <c r="P198" s="106" t="s">
        <v>866</v>
      </c>
      <c r="Q198" s="106" t="s">
        <v>818</v>
      </c>
      <c r="R198" s="106" t="s">
        <v>71</v>
      </c>
      <c r="S198" s="83" t="str">
        <f t="shared" si="23"/>
        <v>21012A-CALI</v>
      </c>
      <c r="T198" s="83" t="str">
        <f t="shared" si="24"/>
        <v>California Twill Screen</v>
      </c>
      <c r="Y198" s="60">
        <f t="shared" si="25"/>
        <v>6</v>
      </c>
      <c r="Z198" s="49">
        <f t="shared" si="26"/>
        <v>175</v>
      </c>
      <c r="AA198" s="60">
        <f t="shared" si="27"/>
        <v>6175</v>
      </c>
    </row>
    <row r="199" spans="1:27">
      <c r="A199" s="83" t="str">
        <f t="shared" si="21"/>
        <v>21012A-MONTruisseau</v>
      </c>
      <c r="B199" s="83" t="str">
        <f t="shared" si="22"/>
        <v>06-176-01</v>
      </c>
      <c r="C199" s="106" t="s">
        <v>1510</v>
      </c>
      <c r="D199" s="106" t="s">
        <v>1511</v>
      </c>
      <c r="E199" s="106" t="s">
        <v>791</v>
      </c>
      <c r="F199" s="107">
        <v>56</v>
      </c>
      <c r="G199" s="106" t="s">
        <v>1512</v>
      </c>
      <c r="H199" s="106" t="s">
        <v>231</v>
      </c>
      <c r="I199" s="106" t="s">
        <v>786</v>
      </c>
      <c r="J199" s="106" t="s">
        <v>325</v>
      </c>
      <c r="K199" s="106" t="s">
        <v>382</v>
      </c>
      <c r="L199" s="106" t="s">
        <v>880</v>
      </c>
      <c r="M199" s="106" t="s">
        <v>388</v>
      </c>
      <c r="N199" s="106" t="s">
        <v>43</v>
      </c>
      <c r="O199" s="106" t="s">
        <v>541</v>
      </c>
      <c r="P199" s="106" t="s">
        <v>866</v>
      </c>
      <c r="Q199" s="106" t="s">
        <v>1513</v>
      </c>
      <c r="R199" s="106" t="s">
        <v>83</v>
      </c>
      <c r="S199" s="83" t="str">
        <f t="shared" si="23"/>
        <v>21012A-MONT</v>
      </c>
      <c r="T199" s="83" t="str">
        <f t="shared" si="24"/>
        <v>Montauk Twill Screen</v>
      </c>
      <c r="Y199" s="60">
        <f t="shared" si="25"/>
        <v>6</v>
      </c>
      <c r="Z199" s="49">
        <f t="shared" si="26"/>
        <v>176</v>
      </c>
      <c r="AA199" s="60">
        <f t="shared" si="27"/>
        <v>6176</v>
      </c>
    </row>
    <row r="200" spans="1:27">
      <c r="A200" s="83" t="str">
        <f t="shared" si="21"/>
        <v>21012A-MONTruisseau</v>
      </c>
      <c r="B200" s="83" t="str">
        <f t="shared" si="22"/>
        <v>06-176-01</v>
      </c>
      <c r="C200" s="106" t="s">
        <v>1514</v>
      </c>
      <c r="D200" s="106" t="s">
        <v>1511</v>
      </c>
      <c r="E200" s="106" t="s">
        <v>829</v>
      </c>
      <c r="F200" s="107">
        <v>60</v>
      </c>
      <c r="G200" s="106" t="s">
        <v>1512</v>
      </c>
      <c r="H200" s="106" t="s">
        <v>231</v>
      </c>
      <c r="I200" s="106" t="s">
        <v>786</v>
      </c>
      <c r="J200" s="106" t="s">
        <v>325</v>
      </c>
      <c r="K200" s="106" t="s">
        <v>382</v>
      </c>
      <c r="L200" s="106" t="s">
        <v>880</v>
      </c>
      <c r="M200" s="106" t="s">
        <v>388</v>
      </c>
      <c r="N200" s="106" t="s">
        <v>43</v>
      </c>
      <c r="O200" s="106" t="s">
        <v>541</v>
      </c>
      <c r="P200" s="106" t="s">
        <v>866</v>
      </c>
      <c r="Q200" s="106" t="s">
        <v>1513</v>
      </c>
      <c r="R200" s="106" t="s">
        <v>83</v>
      </c>
      <c r="S200" s="83" t="str">
        <f t="shared" si="23"/>
        <v>21012A-MONT</v>
      </c>
      <c r="T200" s="83" t="str">
        <f t="shared" si="24"/>
        <v>Montauk Twill Screen</v>
      </c>
      <c r="Y200" s="60">
        <f t="shared" si="25"/>
        <v>6</v>
      </c>
      <c r="Z200" s="49">
        <f t="shared" si="26"/>
        <v>176</v>
      </c>
      <c r="AA200" s="60">
        <f t="shared" si="27"/>
        <v>6176</v>
      </c>
    </row>
    <row r="201" spans="1:27">
      <c r="A201" s="83" t="str">
        <f t="shared" si="21"/>
        <v>21012A-PINKEblack</v>
      </c>
      <c r="B201" s="83" t="str">
        <f t="shared" si="22"/>
        <v>06-177-09</v>
      </c>
      <c r="C201" s="106" t="s">
        <v>1515</v>
      </c>
      <c r="D201" s="106" t="s">
        <v>1516</v>
      </c>
      <c r="E201" s="106" t="s">
        <v>791</v>
      </c>
      <c r="F201" s="107">
        <v>56</v>
      </c>
      <c r="G201" s="106" t="s">
        <v>1517</v>
      </c>
      <c r="H201" s="106" t="s">
        <v>53</v>
      </c>
      <c r="I201" s="106" t="s">
        <v>786</v>
      </c>
      <c r="J201" s="106" t="s">
        <v>325</v>
      </c>
      <c r="K201" s="106" t="s">
        <v>382</v>
      </c>
      <c r="L201" s="106" t="s">
        <v>880</v>
      </c>
      <c r="M201" s="106" t="s">
        <v>388</v>
      </c>
      <c r="N201" s="106" t="s">
        <v>43</v>
      </c>
      <c r="O201" s="106" t="s">
        <v>541</v>
      </c>
      <c r="P201" s="106" t="s">
        <v>866</v>
      </c>
      <c r="Q201" s="106" t="s">
        <v>819</v>
      </c>
      <c r="R201" s="106" t="s">
        <v>53</v>
      </c>
      <c r="S201" s="83" t="str">
        <f t="shared" si="23"/>
        <v>21012A-PINKE</v>
      </c>
      <c r="T201" s="83" t="str">
        <f t="shared" si="24"/>
        <v>Pink Elephant Twill Screen</v>
      </c>
      <c r="Y201" s="60">
        <f t="shared" si="25"/>
        <v>6</v>
      </c>
      <c r="Z201" s="49">
        <f t="shared" si="26"/>
        <v>177</v>
      </c>
      <c r="AA201" s="60">
        <f t="shared" si="27"/>
        <v>6177</v>
      </c>
    </row>
    <row r="202" spans="1:27">
      <c r="A202" s="83" t="str">
        <f t="shared" si="21"/>
        <v>21012A-PINKEblack</v>
      </c>
      <c r="B202" s="83" t="str">
        <f t="shared" si="22"/>
        <v>06-177-09</v>
      </c>
      <c r="C202" s="106" t="s">
        <v>1518</v>
      </c>
      <c r="D202" s="106" t="s">
        <v>1516</v>
      </c>
      <c r="E202" s="106" t="s">
        <v>829</v>
      </c>
      <c r="F202" s="107">
        <v>60</v>
      </c>
      <c r="G202" s="106" t="s">
        <v>1517</v>
      </c>
      <c r="H202" s="106" t="s">
        <v>53</v>
      </c>
      <c r="I202" s="106" t="s">
        <v>786</v>
      </c>
      <c r="J202" s="106" t="s">
        <v>325</v>
      </c>
      <c r="K202" s="106" t="s">
        <v>382</v>
      </c>
      <c r="L202" s="106" t="s">
        <v>880</v>
      </c>
      <c r="M202" s="106" t="s">
        <v>388</v>
      </c>
      <c r="N202" s="106" t="s">
        <v>43</v>
      </c>
      <c r="O202" s="106" t="s">
        <v>541</v>
      </c>
      <c r="P202" s="106" t="s">
        <v>866</v>
      </c>
      <c r="Q202" s="106" t="s">
        <v>819</v>
      </c>
      <c r="R202" s="106" t="s">
        <v>53</v>
      </c>
      <c r="S202" s="83" t="str">
        <f t="shared" si="23"/>
        <v>21012A-PINKE</v>
      </c>
      <c r="T202" s="83" t="str">
        <f t="shared" si="24"/>
        <v>Pink Elephant Twill Screen</v>
      </c>
      <c r="Y202" s="60">
        <f t="shared" si="25"/>
        <v>6</v>
      </c>
      <c r="Z202" s="49">
        <f t="shared" si="26"/>
        <v>177</v>
      </c>
      <c r="AA202" s="60">
        <f t="shared" si="27"/>
        <v>6177</v>
      </c>
    </row>
    <row r="203" spans="1:27">
      <c r="A203" s="83" t="str">
        <f t="shared" si="21"/>
        <v>21012A-SURFwhite</v>
      </c>
      <c r="B203" s="83" t="str">
        <f t="shared" si="22"/>
        <v>06-178-17</v>
      </c>
      <c r="C203" s="106" t="s">
        <v>1519</v>
      </c>
      <c r="D203" s="106" t="s">
        <v>1520</v>
      </c>
      <c r="E203" s="106" t="s">
        <v>791</v>
      </c>
      <c r="F203" s="107">
        <v>56</v>
      </c>
      <c r="G203" s="106" t="s">
        <v>1521</v>
      </c>
      <c r="H203" s="106" t="s">
        <v>57</v>
      </c>
      <c r="I203" s="106" t="s">
        <v>786</v>
      </c>
      <c r="J203" s="106" t="s">
        <v>325</v>
      </c>
      <c r="K203" s="106" t="s">
        <v>382</v>
      </c>
      <c r="L203" s="106" t="s">
        <v>880</v>
      </c>
      <c r="M203" s="106" t="s">
        <v>388</v>
      </c>
      <c r="N203" s="106" t="s">
        <v>43</v>
      </c>
      <c r="O203" s="106" t="s">
        <v>541</v>
      </c>
      <c r="P203" s="106" t="s">
        <v>866</v>
      </c>
      <c r="Q203" s="106" t="s">
        <v>820</v>
      </c>
      <c r="R203" s="106" t="s">
        <v>57</v>
      </c>
      <c r="S203" s="83" t="str">
        <f t="shared" si="23"/>
        <v>21012A-SURF</v>
      </c>
      <c r="T203" s="83" t="str">
        <f t="shared" si="24"/>
        <v>Surf USA Twill Screen</v>
      </c>
      <c r="Y203" s="60">
        <f t="shared" si="25"/>
        <v>6</v>
      </c>
      <c r="Z203" s="49">
        <f t="shared" si="26"/>
        <v>178</v>
      </c>
      <c r="AA203" s="60">
        <f t="shared" si="27"/>
        <v>6178</v>
      </c>
    </row>
    <row r="204" spans="1:27">
      <c r="A204" s="83" t="str">
        <f t="shared" si="21"/>
        <v>21012A-SURFwhite</v>
      </c>
      <c r="B204" s="83" t="str">
        <f t="shared" si="22"/>
        <v>06-178-17</v>
      </c>
      <c r="C204" s="106" t="s">
        <v>1522</v>
      </c>
      <c r="D204" s="106" t="s">
        <v>1520</v>
      </c>
      <c r="E204" s="106" t="s">
        <v>829</v>
      </c>
      <c r="F204" s="107">
        <v>60</v>
      </c>
      <c r="G204" s="106" t="s">
        <v>1521</v>
      </c>
      <c r="H204" s="106" t="s">
        <v>57</v>
      </c>
      <c r="I204" s="106" t="s">
        <v>786</v>
      </c>
      <c r="J204" s="106" t="s">
        <v>325</v>
      </c>
      <c r="K204" s="106" t="s">
        <v>382</v>
      </c>
      <c r="L204" s="106" t="s">
        <v>880</v>
      </c>
      <c r="M204" s="106" t="s">
        <v>388</v>
      </c>
      <c r="N204" s="106" t="s">
        <v>43</v>
      </c>
      <c r="O204" s="106" t="s">
        <v>541</v>
      </c>
      <c r="P204" s="106" t="s">
        <v>866</v>
      </c>
      <c r="Q204" s="106" t="s">
        <v>820</v>
      </c>
      <c r="R204" s="106" t="s">
        <v>57</v>
      </c>
      <c r="S204" s="83" t="str">
        <f t="shared" si="23"/>
        <v>21012A-SURF</v>
      </c>
      <c r="T204" s="83" t="str">
        <f t="shared" si="24"/>
        <v>Surf USA Twill Screen</v>
      </c>
      <c r="Y204" s="60">
        <f t="shared" si="25"/>
        <v>6</v>
      </c>
      <c r="Z204" s="49">
        <f t="shared" si="26"/>
        <v>178</v>
      </c>
      <c r="AA204" s="60">
        <f t="shared" si="27"/>
        <v>6178</v>
      </c>
    </row>
    <row r="205" spans="1:27">
      <c r="A205" s="83" t="str">
        <f t="shared" si="21"/>
        <v>21012A-TAHOEMineral</v>
      </c>
      <c r="B205" s="83" t="str">
        <f t="shared" si="22"/>
        <v>06-179-08</v>
      </c>
      <c r="C205" s="106" t="s">
        <v>1523</v>
      </c>
      <c r="D205" s="106" t="s">
        <v>1524</v>
      </c>
      <c r="E205" s="106" t="s">
        <v>791</v>
      </c>
      <c r="F205" s="107">
        <v>56</v>
      </c>
      <c r="G205" s="106" t="s">
        <v>1525</v>
      </c>
      <c r="H205" s="106" t="s">
        <v>83</v>
      </c>
      <c r="I205" s="106" t="s">
        <v>786</v>
      </c>
      <c r="J205" s="106" t="s">
        <v>325</v>
      </c>
      <c r="K205" s="106" t="s">
        <v>382</v>
      </c>
      <c r="L205" s="106" t="s">
        <v>880</v>
      </c>
      <c r="M205" s="106" t="s">
        <v>388</v>
      </c>
      <c r="N205" s="106" t="s">
        <v>43</v>
      </c>
      <c r="O205" s="106" t="s">
        <v>541</v>
      </c>
      <c r="P205" s="106" t="s">
        <v>866</v>
      </c>
      <c r="Q205" s="106" t="s">
        <v>847</v>
      </c>
      <c r="R205" s="106" t="s">
        <v>83</v>
      </c>
      <c r="S205" s="83" t="str">
        <f t="shared" si="23"/>
        <v>21012A-TAHOE</v>
      </c>
      <c r="T205" s="83" t="str">
        <f t="shared" si="24"/>
        <v>Lake Tahoe Twill Screen</v>
      </c>
      <c r="Y205" s="60">
        <f t="shared" si="25"/>
        <v>6</v>
      </c>
      <c r="Z205" s="49">
        <f t="shared" si="26"/>
        <v>179</v>
      </c>
      <c r="AA205" s="60">
        <f t="shared" si="27"/>
        <v>6179</v>
      </c>
    </row>
    <row r="206" spans="1:27">
      <c r="A206" s="83" t="str">
        <f t="shared" si="21"/>
        <v>21012A-TAHOEMineral</v>
      </c>
      <c r="B206" s="83" t="str">
        <f t="shared" si="22"/>
        <v>06-179-08</v>
      </c>
      <c r="C206" s="106" t="s">
        <v>1526</v>
      </c>
      <c r="D206" s="106" t="s">
        <v>1524</v>
      </c>
      <c r="E206" s="106" t="s">
        <v>829</v>
      </c>
      <c r="F206" s="107">
        <v>60</v>
      </c>
      <c r="G206" s="106" t="s">
        <v>1525</v>
      </c>
      <c r="H206" s="106" t="s">
        <v>83</v>
      </c>
      <c r="I206" s="106" t="s">
        <v>786</v>
      </c>
      <c r="J206" s="106" t="s">
        <v>325</v>
      </c>
      <c r="K206" s="106" t="s">
        <v>382</v>
      </c>
      <c r="L206" s="106" t="s">
        <v>880</v>
      </c>
      <c r="M206" s="106" t="s">
        <v>388</v>
      </c>
      <c r="N206" s="106" t="s">
        <v>43</v>
      </c>
      <c r="O206" s="106" t="s">
        <v>541</v>
      </c>
      <c r="P206" s="106" t="s">
        <v>866</v>
      </c>
      <c r="Q206" s="106" t="s">
        <v>847</v>
      </c>
      <c r="R206" s="106" t="s">
        <v>83</v>
      </c>
      <c r="S206" s="83" t="str">
        <f t="shared" si="23"/>
        <v>21012A-TAHOE</v>
      </c>
      <c r="T206" s="83" t="str">
        <f t="shared" si="24"/>
        <v>Lake Tahoe Twill Screen</v>
      </c>
      <c r="Y206" s="60">
        <f t="shared" si="25"/>
        <v>6</v>
      </c>
      <c r="Z206" s="49">
        <f t="shared" si="26"/>
        <v>179</v>
      </c>
      <c r="AA206" s="60">
        <f t="shared" si="27"/>
        <v>6179</v>
      </c>
    </row>
    <row r="207" spans="1:27">
      <c r="A207" s="83" t="str">
        <f t="shared" si="21"/>
        <v>36670A-HTIblack</v>
      </c>
      <c r="B207" s="83" t="str">
        <f t="shared" si="22"/>
        <v>06-180-09</v>
      </c>
      <c r="C207" s="106" t="s">
        <v>1527</v>
      </c>
      <c r="D207" s="106" t="s">
        <v>1528</v>
      </c>
      <c r="E207" s="106" t="s">
        <v>788</v>
      </c>
      <c r="F207" s="107">
        <v>0</v>
      </c>
      <c r="G207" s="106" t="s">
        <v>1529</v>
      </c>
      <c r="H207" s="106" t="s">
        <v>53</v>
      </c>
      <c r="I207" s="106" t="s">
        <v>786</v>
      </c>
      <c r="J207" s="106" t="s">
        <v>327</v>
      </c>
      <c r="K207" s="106" t="s">
        <v>382</v>
      </c>
      <c r="L207" s="106" t="s">
        <v>884</v>
      </c>
      <c r="M207" s="106" t="s">
        <v>388</v>
      </c>
      <c r="N207" s="106" t="s">
        <v>43</v>
      </c>
      <c r="O207" s="106" t="s">
        <v>541</v>
      </c>
      <c r="P207" s="106" t="s">
        <v>866</v>
      </c>
      <c r="Q207" s="106" t="s">
        <v>819</v>
      </c>
      <c r="R207" s="106" t="s">
        <v>53</v>
      </c>
      <c r="S207" s="83" t="str">
        <f t="shared" si="23"/>
        <v>36670A-HTI</v>
      </c>
      <c r="T207" s="83" t="str">
        <f t="shared" si="24"/>
        <v>Hansin Tigers New Raglan NPL</v>
      </c>
      <c r="Y207" s="60">
        <f t="shared" si="25"/>
        <v>6</v>
      </c>
      <c r="Z207" s="49">
        <f t="shared" si="26"/>
        <v>180</v>
      </c>
      <c r="AA207" s="60">
        <f t="shared" si="27"/>
        <v>6180</v>
      </c>
    </row>
    <row r="208" spans="1:27">
      <c r="A208" s="83" t="str">
        <f t="shared" si="21"/>
        <v>36670A-SAFnavy</v>
      </c>
      <c r="B208" s="83" t="str">
        <f t="shared" si="22"/>
        <v>06-181-16</v>
      </c>
      <c r="C208" s="106" t="s">
        <v>1530</v>
      </c>
      <c r="D208" s="106" t="s">
        <v>1531</v>
      </c>
      <c r="E208" s="106" t="s">
        <v>788</v>
      </c>
      <c r="F208" s="107">
        <v>0</v>
      </c>
      <c r="G208" s="106" t="s">
        <v>1532</v>
      </c>
      <c r="H208" s="106" t="s">
        <v>55</v>
      </c>
      <c r="I208" s="106" t="s">
        <v>786</v>
      </c>
      <c r="J208" s="106" t="s">
        <v>327</v>
      </c>
      <c r="K208" s="106" t="s">
        <v>382</v>
      </c>
      <c r="L208" s="106" t="s">
        <v>884</v>
      </c>
      <c r="M208" s="106" t="s">
        <v>388</v>
      </c>
      <c r="N208" s="106" t="s">
        <v>43</v>
      </c>
      <c r="O208" s="106" t="s">
        <v>541</v>
      </c>
      <c r="P208" s="106" t="s">
        <v>866</v>
      </c>
      <c r="Q208" s="106" t="s">
        <v>818</v>
      </c>
      <c r="R208" s="106" t="s">
        <v>71</v>
      </c>
      <c r="S208" s="83" t="str">
        <f t="shared" si="23"/>
        <v>36670A-SAF</v>
      </c>
      <c r="T208" s="83" t="str">
        <f t="shared" si="24"/>
        <v>San Francisco Seals New Raglan MILB</v>
      </c>
      <c r="Y208" s="60">
        <f t="shared" si="25"/>
        <v>6</v>
      </c>
      <c r="Z208" s="49">
        <f t="shared" si="26"/>
        <v>181</v>
      </c>
      <c r="AA208" s="60">
        <f t="shared" si="27"/>
        <v>6181</v>
      </c>
    </row>
    <row r="209" spans="1:27">
      <c r="A209" s="83" t="str">
        <f t="shared" si="21"/>
        <v>36670A-SERdark red</v>
      </c>
      <c r="B209" s="83" t="str">
        <f t="shared" si="22"/>
        <v>06-182-18</v>
      </c>
      <c r="C209" s="106" t="s">
        <v>1533</v>
      </c>
      <c r="D209" s="106" t="s">
        <v>1534</v>
      </c>
      <c r="E209" s="106" t="s">
        <v>788</v>
      </c>
      <c r="F209" s="107">
        <v>0</v>
      </c>
      <c r="G209" s="106" t="s">
        <v>1535</v>
      </c>
      <c r="H209" s="106" t="s">
        <v>274</v>
      </c>
      <c r="I209" s="106" t="s">
        <v>786</v>
      </c>
      <c r="J209" s="106" t="s">
        <v>327</v>
      </c>
      <c r="K209" s="106" t="s">
        <v>382</v>
      </c>
      <c r="L209" s="106" t="s">
        <v>884</v>
      </c>
      <c r="M209" s="106" t="s">
        <v>388</v>
      </c>
      <c r="N209" s="106" t="s">
        <v>43</v>
      </c>
      <c r="O209" s="106" t="s">
        <v>541</v>
      </c>
      <c r="P209" s="106" t="s">
        <v>866</v>
      </c>
      <c r="Q209" s="106" t="s">
        <v>1536</v>
      </c>
      <c r="R209" s="106" t="s">
        <v>78</v>
      </c>
      <c r="S209" s="83" t="str">
        <f t="shared" si="23"/>
        <v>36670A-SER</v>
      </c>
      <c r="T209" s="83" t="str">
        <f t="shared" si="24"/>
        <v>Seattle Rainiers New Raglan MILB</v>
      </c>
      <c r="Y209" s="60">
        <f t="shared" si="25"/>
        <v>6</v>
      </c>
      <c r="Z209" s="49">
        <f t="shared" si="26"/>
        <v>182</v>
      </c>
      <c r="AA209" s="60">
        <f t="shared" si="27"/>
        <v>6182</v>
      </c>
    </row>
    <row r="210" spans="1:27">
      <c r="A210" s="83" t="str">
        <f t="shared" si="21"/>
        <v>36670A-YOGblack</v>
      </c>
      <c r="B210" s="83" t="str">
        <f t="shared" si="22"/>
        <v>06-183-09</v>
      </c>
      <c r="C210" s="106" t="s">
        <v>1537</v>
      </c>
      <c r="D210" s="106" t="s">
        <v>1538</v>
      </c>
      <c r="E210" s="106" t="s">
        <v>788</v>
      </c>
      <c r="F210" s="107">
        <v>0</v>
      </c>
      <c r="G210" s="106" t="s">
        <v>1539</v>
      </c>
      <c r="H210" s="106" t="s">
        <v>53</v>
      </c>
      <c r="I210" s="106" t="s">
        <v>786</v>
      </c>
      <c r="J210" s="106" t="s">
        <v>327</v>
      </c>
      <c r="K210" s="106" t="s">
        <v>382</v>
      </c>
      <c r="L210" s="106" t="s">
        <v>884</v>
      </c>
      <c r="M210" s="106" t="s">
        <v>388</v>
      </c>
      <c r="N210" s="106" t="s">
        <v>43</v>
      </c>
      <c r="O210" s="106" t="s">
        <v>541</v>
      </c>
      <c r="P210" s="106" t="s">
        <v>866</v>
      </c>
      <c r="Q210" s="106" t="s">
        <v>819</v>
      </c>
      <c r="R210" s="106" t="s">
        <v>53</v>
      </c>
      <c r="S210" s="83" t="str">
        <f t="shared" si="23"/>
        <v>36670A-YOG</v>
      </c>
      <c r="T210" s="83" t="str">
        <f t="shared" si="24"/>
        <v>Yomiuri Giants New Raglan NPL</v>
      </c>
      <c r="Y210" s="60">
        <f t="shared" si="25"/>
        <v>6</v>
      </c>
      <c r="Z210" s="49">
        <f t="shared" si="26"/>
        <v>183</v>
      </c>
      <c r="AA210" s="60">
        <f t="shared" si="27"/>
        <v>6183</v>
      </c>
    </row>
    <row r="211" spans="1:27">
      <c r="A211" s="83" t="str">
        <f t="shared" si="21"/>
        <v>36672A-BBRblack</v>
      </c>
      <c r="B211" s="83" t="str">
        <f t="shared" si="22"/>
        <v>06-184-09</v>
      </c>
      <c r="C211" s="106" t="s">
        <v>1540</v>
      </c>
      <c r="D211" s="106" t="s">
        <v>1541</v>
      </c>
      <c r="E211" s="106" t="s">
        <v>788</v>
      </c>
      <c r="F211" s="107">
        <v>0</v>
      </c>
      <c r="G211" s="106" t="s">
        <v>1542</v>
      </c>
      <c r="H211" s="106" t="s">
        <v>53</v>
      </c>
      <c r="I211" s="106" t="s">
        <v>786</v>
      </c>
      <c r="J211" s="106" t="s">
        <v>327</v>
      </c>
      <c r="K211" s="106" t="s">
        <v>382</v>
      </c>
      <c r="L211" s="106" t="s">
        <v>884</v>
      </c>
      <c r="M211" s="106" t="s">
        <v>388</v>
      </c>
      <c r="N211" s="106" t="s">
        <v>43</v>
      </c>
      <c r="O211" s="106" t="s">
        <v>541</v>
      </c>
      <c r="P211" s="106" t="s">
        <v>866</v>
      </c>
      <c r="Q211" s="106" t="s">
        <v>819</v>
      </c>
      <c r="R211" s="106" t="s">
        <v>53</v>
      </c>
      <c r="S211" s="83" t="str">
        <f t="shared" si="23"/>
        <v>36672A-BBR</v>
      </c>
      <c r="T211" s="83" t="str">
        <f t="shared" si="24"/>
        <v>Boston Bruins New Raglan NHL</v>
      </c>
      <c r="Y211" s="60">
        <f t="shared" si="25"/>
        <v>6</v>
      </c>
      <c r="Z211" s="49">
        <f t="shared" si="26"/>
        <v>184</v>
      </c>
      <c r="AA211" s="60">
        <f t="shared" si="27"/>
        <v>6184</v>
      </c>
    </row>
    <row r="212" spans="1:27">
      <c r="A212" s="83" t="str">
        <f t="shared" si="21"/>
        <v>36672A-CBHblack</v>
      </c>
      <c r="B212" s="83" t="str">
        <f t="shared" si="22"/>
        <v>06-185-09</v>
      </c>
      <c r="C212" s="106" t="s">
        <v>1543</v>
      </c>
      <c r="D212" s="106" t="s">
        <v>1544</v>
      </c>
      <c r="E212" s="106" t="s">
        <v>788</v>
      </c>
      <c r="F212" s="107">
        <v>0</v>
      </c>
      <c r="G212" s="106" t="s">
        <v>1545</v>
      </c>
      <c r="H212" s="106" t="s">
        <v>53</v>
      </c>
      <c r="I212" s="106" t="s">
        <v>786</v>
      </c>
      <c r="J212" s="106" t="s">
        <v>327</v>
      </c>
      <c r="K212" s="106" t="s">
        <v>382</v>
      </c>
      <c r="L212" s="106" t="s">
        <v>884</v>
      </c>
      <c r="M212" s="106" t="s">
        <v>388</v>
      </c>
      <c r="N212" s="106" t="s">
        <v>43</v>
      </c>
      <c r="O212" s="106" t="s">
        <v>541</v>
      </c>
      <c r="P212" s="106" t="s">
        <v>866</v>
      </c>
      <c r="Q212" s="106" t="s">
        <v>819</v>
      </c>
      <c r="R212" s="106" t="s">
        <v>53</v>
      </c>
      <c r="S212" s="83" t="str">
        <f t="shared" si="23"/>
        <v>36672A-CBH</v>
      </c>
      <c r="T212" s="83" t="str">
        <f t="shared" si="24"/>
        <v>Chicago Blackhawks New Raglan NHL</v>
      </c>
      <c r="Y212" s="60">
        <f t="shared" si="25"/>
        <v>6</v>
      </c>
      <c r="Z212" s="49">
        <f t="shared" si="26"/>
        <v>185</v>
      </c>
      <c r="AA212" s="60">
        <f t="shared" si="27"/>
        <v>6185</v>
      </c>
    </row>
    <row r="213" spans="1:27">
      <c r="A213" s="83" t="str">
        <f t="shared" si="21"/>
        <v>36672A-DRWdark red</v>
      </c>
      <c r="B213" s="83" t="str">
        <f t="shared" si="22"/>
        <v>06-186-18</v>
      </c>
      <c r="C213" s="106" t="s">
        <v>1546</v>
      </c>
      <c r="D213" s="106" t="s">
        <v>1547</v>
      </c>
      <c r="E213" s="106" t="s">
        <v>788</v>
      </c>
      <c r="F213" s="107">
        <v>0</v>
      </c>
      <c r="G213" s="106" t="s">
        <v>1548</v>
      </c>
      <c r="H213" s="106" t="s">
        <v>274</v>
      </c>
      <c r="I213" s="106" t="s">
        <v>786</v>
      </c>
      <c r="J213" s="106" t="s">
        <v>327</v>
      </c>
      <c r="K213" s="106" t="s">
        <v>382</v>
      </c>
      <c r="L213" s="106" t="s">
        <v>884</v>
      </c>
      <c r="M213" s="106" t="s">
        <v>388</v>
      </c>
      <c r="N213" s="106" t="s">
        <v>43</v>
      </c>
      <c r="O213" s="106" t="s">
        <v>541</v>
      </c>
      <c r="P213" s="106" t="s">
        <v>866</v>
      </c>
      <c r="Q213" s="106" t="s">
        <v>1536</v>
      </c>
      <c r="R213" s="106" t="s">
        <v>78</v>
      </c>
      <c r="S213" s="83" t="str">
        <f t="shared" si="23"/>
        <v>36672A-DRW</v>
      </c>
      <c r="T213" s="83" t="str">
        <f t="shared" si="24"/>
        <v>Detroit Red Wings New Raglan NHL</v>
      </c>
      <c r="Y213" s="60">
        <f t="shared" si="25"/>
        <v>6</v>
      </c>
      <c r="Z213" s="49">
        <f t="shared" si="26"/>
        <v>186</v>
      </c>
      <c r="AA213" s="60">
        <f t="shared" si="27"/>
        <v>6186</v>
      </c>
    </row>
    <row r="214" spans="1:27">
      <c r="A214" s="83" t="str">
        <f t="shared" si="21"/>
        <v>36672A-HAWnavy</v>
      </c>
      <c r="B214" s="83" t="str">
        <f t="shared" si="22"/>
        <v>06-187-16</v>
      </c>
      <c r="C214" s="106" t="s">
        <v>1549</v>
      </c>
      <c r="D214" s="106" t="s">
        <v>1550</v>
      </c>
      <c r="E214" s="106" t="s">
        <v>788</v>
      </c>
      <c r="F214" s="107">
        <v>0</v>
      </c>
      <c r="G214" s="106" t="s">
        <v>1551</v>
      </c>
      <c r="H214" s="106" t="s">
        <v>55</v>
      </c>
      <c r="I214" s="106" t="s">
        <v>786</v>
      </c>
      <c r="J214" s="106" t="s">
        <v>327</v>
      </c>
      <c r="K214" s="106" t="s">
        <v>382</v>
      </c>
      <c r="L214" s="106" t="s">
        <v>884</v>
      </c>
      <c r="M214" s="106" t="s">
        <v>388</v>
      </c>
      <c r="N214" s="106" t="s">
        <v>43</v>
      </c>
      <c r="O214" s="106" t="s">
        <v>541</v>
      </c>
      <c r="P214" s="106" t="s">
        <v>866</v>
      </c>
      <c r="Q214" s="106" t="s">
        <v>818</v>
      </c>
      <c r="R214" s="106" t="s">
        <v>71</v>
      </c>
      <c r="S214" s="83" t="str">
        <f t="shared" si="23"/>
        <v>36672A-HAW</v>
      </c>
      <c r="T214" s="83" t="str">
        <f t="shared" si="24"/>
        <v>Hartford Whalers New Raglan NHL</v>
      </c>
      <c r="Y214" s="60">
        <f t="shared" si="25"/>
        <v>6</v>
      </c>
      <c r="Z214" s="49">
        <f t="shared" si="26"/>
        <v>187</v>
      </c>
      <c r="AA214" s="60">
        <f t="shared" si="27"/>
        <v>6187</v>
      </c>
    </row>
    <row r="215" spans="1:27">
      <c r="A215" s="83" t="str">
        <f t="shared" si="21"/>
        <v>36672A-NHLblack</v>
      </c>
      <c r="B215" s="83" t="str">
        <f t="shared" si="22"/>
        <v>06-188-09</v>
      </c>
      <c r="C215" s="106" t="s">
        <v>1552</v>
      </c>
      <c r="D215" s="106" t="s">
        <v>1553</v>
      </c>
      <c r="E215" s="106" t="s">
        <v>788</v>
      </c>
      <c r="F215" s="107">
        <v>0</v>
      </c>
      <c r="G215" s="106" t="s">
        <v>1554</v>
      </c>
      <c r="H215" s="106" t="s">
        <v>53</v>
      </c>
      <c r="I215" s="106" t="s">
        <v>786</v>
      </c>
      <c r="J215" s="106" t="s">
        <v>327</v>
      </c>
      <c r="K215" s="106" t="s">
        <v>382</v>
      </c>
      <c r="L215" s="106" t="s">
        <v>884</v>
      </c>
      <c r="M215" s="106" t="s">
        <v>388</v>
      </c>
      <c r="N215" s="106" t="s">
        <v>43</v>
      </c>
      <c r="O215" s="106" t="s">
        <v>541</v>
      </c>
      <c r="P215" s="106" t="s">
        <v>866</v>
      </c>
      <c r="Q215" s="106" t="s">
        <v>819</v>
      </c>
      <c r="R215" s="106" t="s">
        <v>53</v>
      </c>
      <c r="S215" s="83" t="str">
        <f t="shared" si="23"/>
        <v>36672A-NHL</v>
      </c>
      <c r="T215" s="83" t="str">
        <f t="shared" si="24"/>
        <v>Original 6 New Raglan NHL</v>
      </c>
      <c r="Y215" s="60">
        <f t="shared" si="25"/>
        <v>6</v>
      </c>
      <c r="Z215" s="49">
        <f t="shared" si="26"/>
        <v>188</v>
      </c>
      <c r="AA215" s="60">
        <f t="shared" si="27"/>
        <v>6188</v>
      </c>
    </row>
    <row r="216" spans="1:27">
      <c r="A216" s="83" t="str">
        <f t="shared" si="21"/>
        <v>36672A-NYRblue</v>
      </c>
      <c r="B216" s="83" t="str">
        <f t="shared" si="22"/>
        <v>06-189-06</v>
      </c>
      <c r="C216" s="106" t="s">
        <v>1555</v>
      </c>
      <c r="D216" s="106" t="s">
        <v>1556</v>
      </c>
      <c r="E216" s="106" t="s">
        <v>788</v>
      </c>
      <c r="F216" s="107">
        <v>0</v>
      </c>
      <c r="G216" s="106" t="s">
        <v>1557</v>
      </c>
      <c r="H216" s="106" t="s">
        <v>71</v>
      </c>
      <c r="I216" s="106" t="s">
        <v>786</v>
      </c>
      <c r="J216" s="106" t="s">
        <v>327</v>
      </c>
      <c r="K216" s="106" t="s">
        <v>382</v>
      </c>
      <c r="L216" s="106" t="s">
        <v>884</v>
      </c>
      <c r="M216" s="106" t="s">
        <v>388</v>
      </c>
      <c r="N216" s="106" t="s">
        <v>43</v>
      </c>
      <c r="O216" s="106" t="s">
        <v>541</v>
      </c>
      <c r="P216" s="106" t="s">
        <v>866</v>
      </c>
      <c r="Q216" s="106" t="s">
        <v>823</v>
      </c>
      <c r="R216" s="106" t="s">
        <v>71</v>
      </c>
      <c r="S216" s="83" t="str">
        <f t="shared" si="23"/>
        <v>36672A-NYR</v>
      </c>
      <c r="T216" s="83" t="str">
        <f t="shared" si="24"/>
        <v>New York Rangers New Raglan NHL</v>
      </c>
      <c r="Y216" s="60">
        <f t="shared" si="25"/>
        <v>6</v>
      </c>
      <c r="Z216" s="49">
        <f t="shared" si="26"/>
        <v>189</v>
      </c>
      <c r="AA216" s="60">
        <f t="shared" si="27"/>
        <v>6189</v>
      </c>
    </row>
    <row r="217" spans="1:27">
      <c r="A217" s="83" t="str">
        <f t="shared" si="21"/>
        <v>36672A-SLBblue</v>
      </c>
      <c r="B217" s="83" t="str">
        <f t="shared" si="22"/>
        <v>06-190-06</v>
      </c>
      <c r="C217" s="106" t="s">
        <v>1558</v>
      </c>
      <c r="D217" s="106" t="s">
        <v>1559</v>
      </c>
      <c r="E217" s="106" t="s">
        <v>788</v>
      </c>
      <c r="F217" s="107">
        <v>0</v>
      </c>
      <c r="G217" s="106" t="s">
        <v>1560</v>
      </c>
      <c r="H217" s="106" t="s">
        <v>71</v>
      </c>
      <c r="I217" s="106" t="s">
        <v>786</v>
      </c>
      <c r="J217" s="106" t="s">
        <v>327</v>
      </c>
      <c r="K217" s="106" t="s">
        <v>382</v>
      </c>
      <c r="L217" s="106" t="s">
        <v>884</v>
      </c>
      <c r="M217" s="106" t="s">
        <v>388</v>
      </c>
      <c r="N217" s="106" t="s">
        <v>43</v>
      </c>
      <c r="O217" s="106" t="s">
        <v>541</v>
      </c>
      <c r="P217" s="106" t="s">
        <v>866</v>
      </c>
      <c r="Q217" s="106" t="s">
        <v>823</v>
      </c>
      <c r="R217" s="106" t="s">
        <v>71</v>
      </c>
      <c r="S217" s="83" t="str">
        <f t="shared" si="23"/>
        <v>36672A-SLB</v>
      </c>
      <c r="T217" s="83" t="str">
        <f t="shared" si="24"/>
        <v>Saint Louis Blues New Raglan NHL</v>
      </c>
      <c r="Y217" s="60">
        <f t="shared" si="25"/>
        <v>6</v>
      </c>
      <c r="Z217" s="49">
        <f t="shared" si="26"/>
        <v>190</v>
      </c>
      <c r="AA217" s="60">
        <f t="shared" si="27"/>
        <v>6190</v>
      </c>
    </row>
    <row r="218" spans="1:27">
      <c r="A218" s="83" t="str">
        <f t="shared" si="21"/>
        <v>36672A-VGKblack</v>
      </c>
      <c r="B218" s="83" t="str">
        <f>IF(C218&lt;&gt;"",LEFT(C218,9),"")</f>
        <v>06-191-09</v>
      </c>
      <c r="C218" s="106" t="s">
        <v>1561</v>
      </c>
      <c r="D218" s="106" t="s">
        <v>1562</v>
      </c>
      <c r="E218" s="106" t="s">
        <v>788</v>
      </c>
      <c r="F218" s="107">
        <v>0</v>
      </c>
      <c r="G218" s="106" t="s">
        <v>1563</v>
      </c>
      <c r="H218" s="106" t="s">
        <v>53</v>
      </c>
      <c r="I218" s="106" t="s">
        <v>786</v>
      </c>
      <c r="J218" s="106" t="s">
        <v>327</v>
      </c>
      <c r="K218" s="106" t="s">
        <v>382</v>
      </c>
      <c r="L218" s="106" t="s">
        <v>884</v>
      </c>
      <c r="M218" s="106" t="s">
        <v>388</v>
      </c>
      <c r="N218" s="106" t="s">
        <v>43</v>
      </c>
      <c r="O218" s="106" t="s">
        <v>541</v>
      </c>
      <c r="P218" s="106" t="s">
        <v>866</v>
      </c>
      <c r="Q218" s="106" t="s">
        <v>819</v>
      </c>
      <c r="R218" s="106" t="s">
        <v>53</v>
      </c>
      <c r="S218" s="83" t="str">
        <f t="shared" si="23"/>
        <v>36672A-VGK</v>
      </c>
      <c r="T218" s="83" t="str">
        <f t="shared" si="24"/>
        <v>Vegas Golden Knights New Raglan NHL</v>
      </c>
      <c r="Y218" s="60">
        <f t="shared" si="25"/>
        <v>6</v>
      </c>
      <c r="Z218" s="49">
        <f t="shared" si="26"/>
        <v>191</v>
      </c>
      <c r="AA218" s="60">
        <f t="shared" si="27"/>
        <v>6191</v>
      </c>
    </row>
    <row r="219" spans="1:27">
      <c r="A219" s="83" t="str">
        <f t="shared" si="21"/>
        <v>39712A-PHForange</v>
      </c>
      <c r="B219" s="83" t="str">
        <f t="shared" si="22"/>
        <v>06-192-13</v>
      </c>
      <c r="C219" s="106" t="s">
        <v>1564</v>
      </c>
      <c r="D219" s="106" t="s">
        <v>1565</v>
      </c>
      <c r="E219" s="106" t="s">
        <v>788</v>
      </c>
      <c r="F219" s="107">
        <v>0</v>
      </c>
      <c r="G219" s="106" t="s">
        <v>1566</v>
      </c>
      <c r="H219" s="106" t="s">
        <v>199</v>
      </c>
      <c r="I219" s="106" t="s">
        <v>790</v>
      </c>
      <c r="J219" s="106" t="s">
        <v>340</v>
      </c>
      <c r="K219" s="106" t="s">
        <v>382</v>
      </c>
      <c r="L219" s="106" t="s">
        <v>884</v>
      </c>
      <c r="M219" s="106" t="s">
        <v>389</v>
      </c>
      <c r="O219" s="106" t="s">
        <v>542</v>
      </c>
      <c r="P219" s="106" t="s">
        <v>866</v>
      </c>
      <c r="Q219" s="106" t="s">
        <v>1567</v>
      </c>
      <c r="R219" s="106" t="s">
        <v>199</v>
      </c>
      <c r="S219" s="83" t="str">
        <f t="shared" si="23"/>
        <v>39712A-PHF</v>
      </c>
      <c r="T219" s="83" t="str">
        <f t="shared" si="24"/>
        <v>Philadelphia Flyers Basic NHL</v>
      </c>
      <c r="Y219" s="60">
        <f t="shared" si="25"/>
        <v>6</v>
      </c>
      <c r="Z219" s="49">
        <f t="shared" si="26"/>
        <v>192</v>
      </c>
      <c r="AA219" s="60">
        <f t="shared" si="27"/>
        <v>6192</v>
      </c>
    </row>
    <row r="220" spans="1:27">
      <c r="A220" s="83" t="str">
        <f t="shared" si="21"/>
        <v>39712A-SEKblack</v>
      </c>
      <c r="B220" s="83" t="str">
        <f t="shared" si="22"/>
        <v>06-193-09</v>
      </c>
      <c r="C220" s="106" t="s">
        <v>1568</v>
      </c>
      <c r="D220" s="106" t="s">
        <v>1569</v>
      </c>
      <c r="E220" s="106" t="s">
        <v>788</v>
      </c>
      <c r="F220" s="107">
        <v>0</v>
      </c>
      <c r="G220" s="106" t="s">
        <v>1570</v>
      </c>
      <c r="H220" s="106" t="s">
        <v>53</v>
      </c>
      <c r="I220" s="106" t="s">
        <v>790</v>
      </c>
      <c r="J220" s="106" t="s">
        <v>340</v>
      </c>
      <c r="K220" s="106" t="s">
        <v>382</v>
      </c>
      <c r="L220" s="106" t="s">
        <v>884</v>
      </c>
      <c r="M220" s="106" t="s">
        <v>389</v>
      </c>
      <c r="O220" s="106" t="s">
        <v>542</v>
      </c>
      <c r="P220" s="106" t="s">
        <v>866</v>
      </c>
      <c r="Q220" s="106" t="s">
        <v>819</v>
      </c>
      <c r="R220" s="106" t="s">
        <v>53</v>
      </c>
      <c r="S220" s="83" t="str">
        <f t="shared" si="23"/>
        <v>39712A-SEK</v>
      </c>
      <c r="T220" s="83" t="str">
        <f t="shared" si="24"/>
        <v>Seattle Kraken Basic NHL</v>
      </c>
      <c r="Y220" s="60">
        <f t="shared" si="25"/>
        <v>6</v>
      </c>
      <c r="Z220" s="49">
        <f t="shared" si="26"/>
        <v>193</v>
      </c>
      <c r="AA220" s="60">
        <f t="shared" si="27"/>
        <v>6193</v>
      </c>
    </row>
    <row r="221" spans="1:27">
      <c r="A221" s="83" t="str">
        <f t="shared" si="21"/>
        <v>39712A-SEKnavy</v>
      </c>
      <c r="B221" s="83" t="str">
        <f t="shared" si="22"/>
        <v>06-193-16</v>
      </c>
      <c r="C221" s="106" t="s">
        <v>1571</v>
      </c>
      <c r="D221" s="106" t="s">
        <v>1572</v>
      </c>
      <c r="E221" s="106" t="s">
        <v>788</v>
      </c>
      <c r="F221" s="107">
        <v>0</v>
      </c>
      <c r="G221" s="106" t="s">
        <v>1570</v>
      </c>
      <c r="H221" s="106" t="s">
        <v>55</v>
      </c>
      <c r="I221" s="106" t="s">
        <v>790</v>
      </c>
      <c r="J221" s="106" t="s">
        <v>340</v>
      </c>
      <c r="K221" s="106" t="s">
        <v>382</v>
      </c>
      <c r="L221" s="106" t="s">
        <v>884</v>
      </c>
      <c r="M221" s="106" t="s">
        <v>389</v>
      </c>
      <c r="O221" s="106" t="s">
        <v>542</v>
      </c>
      <c r="P221" s="106" t="s">
        <v>866</v>
      </c>
      <c r="Q221" s="106" t="s">
        <v>818</v>
      </c>
      <c r="R221" s="106" t="s">
        <v>71</v>
      </c>
      <c r="S221" s="83" t="str">
        <f t="shared" si="23"/>
        <v>39712A-SEK</v>
      </c>
      <c r="T221" s="83" t="str">
        <f t="shared" si="24"/>
        <v>Seattle Kraken Basic NHL</v>
      </c>
      <c r="Y221" s="60">
        <f t="shared" si="25"/>
        <v>6</v>
      </c>
      <c r="Z221" s="49">
        <f t="shared" si="26"/>
        <v>193</v>
      </c>
      <c r="AA221" s="60">
        <f t="shared" si="27"/>
        <v>6193</v>
      </c>
    </row>
    <row r="222" spans="1:27">
      <c r="A222" s="83" t="str">
        <f t="shared" si="21"/>
        <v>39712A-TMLroyal</v>
      </c>
      <c r="B222" s="83" t="str">
        <f t="shared" si="22"/>
        <v>06-194-06</v>
      </c>
      <c r="C222" s="106" t="s">
        <v>1573</v>
      </c>
      <c r="D222" s="106" t="s">
        <v>1574</v>
      </c>
      <c r="E222" s="106" t="s">
        <v>788</v>
      </c>
      <c r="F222" s="107">
        <v>0</v>
      </c>
      <c r="G222" s="106" t="s">
        <v>1575</v>
      </c>
      <c r="H222" s="106" t="s">
        <v>71</v>
      </c>
      <c r="I222" s="106" t="s">
        <v>790</v>
      </c>
      <c r="J222" s="106" t="s">
        <v>340</v>
      </c>
      <c r="K222" s="106" t="s">
        <v>382</v>
      </c>
      <c r="L222" s="106" t="s">
        <v>884</v>
      </c>
      <c r="M222" s="106" t="s">
        <v>389</v>
      </c>
      <c r="O222" s="106" t="s">
        <v>542</v>
      </c>
      <c r="P222" s="106" t="s">
        <v>866</v>
      </c>
      <c r="Q222" s="106" t="s">
        <v>1576</v>
      </c>
      <c r="R222" s="106" t="s">
        <v>71</v>
      </c>
      <c r="S222" s="83" t="str">
        <f t="shared" si="23"/>
        <v>39712A-TML</v>
      </c>
      <c r="T222" s="83" t="str">
        <f t="shared" si="24"/>
        <v>Toronto Maple Leafs Basic NHL</v>
      </c>
      <c r="Y222" s="60">
        <f t="shared" si="25"/>
        <v>6</v>
      </c>
      <c r="Z222" s="49">
        <f t="shared" si="26"/>
        <v>194</v>
      </c>
      <c r="AA222" s="60">
        <f t="shared" si="27"/>
        <v>6194</v>
      </c>
    </row>
    <row r="223" spans="1:27">
      <c r="A223" s="83" t="str">
        <f t="shared" si="21"/>
        <v>40742A-BBRblack</v>
      </c>
      <c r="B223" s="83" t="str">
        <f t="shared" si="22"/>
        <v>06-195-09</v>
      </c>
      <c r="C223" s="106" t="s">
        <v>1577</v>
      </c>
      <c r="D223" s="106" t="s">
        <v>1578</v>
      </c>
      <c r="E223" s="106" t="s">
        <v>788</v>
      </c>
      <c r="F223" s="107">
        <v>0</v>
      </c>
      <c r="G223" s="106" t="s">
        <v>1579</v>
      </c>
      <c r="H223" s="106" t="s">
        <v>53</v>
      </c>
      <c r="I223" s="106" t="s">
        <v>786</v>
      </c>
      <c r="J223" s="106" t="s">
        <v>327</v>
      </c>
      <c r="K223" s="106" t="s">
        <v>382</v>
      </c>
      <c r="L223" s="106" t="s">
        <v>884</v>
      </c>
      <c r="M223" s="106" t="s">
        <v>388</v>
      </c>
      <c r="N223" s="106" t="s">
        <v>43</v>
      </c>
      <c r="O223" s="106" t="s">
        <v>541</v>
      </c>
      <c r="P223" s="106" t="s">
        <v>866</v>
      </c>
      <c r="Q223" s="106" t="s">
        <v>819</v>
      </c>
      <c r="R223" s="106" t="s">
        <v>53</v>
      </c>
      <c r="S223" s="83" t="str">
        <f t="shared" si="23"/>
        <v>40742A-BBR</v>
      </c>
      <c r="T223" s="83" t="str">
        <f t="shared" si="24"/>
        <v>Boston Bruins Blue Line NHL</v>
      </c>
      <c r="Y223" s="60">
        <f t="shared" si="25"/>
        <v>6</v>
      </c>
      <c r="Z223" s="49">
        <f t="shared" si="26"/>
        <v>195</v>
      </c>
      <c r="AA223" s="60">
        <f t="shared" si="27"/>
        <v>6195</v>
      </c>
    </row>
    <row r="224" spans="1:27">
      <c r="A224" s="83" t="str">
        <f t="shared" si="21"/>
        <v>40742A-CBHblack</v>
      </c>
      <c r="B224" s="83" t="str">
        <f t="shared" si="22"/>
        <v>06-196-09</v>
      </c>
      <c r="C224" s="106" t="s">
        <v>1580</v>
      </c>
      <c r="D224" s="106" t="s">
        <v>1581</v>
      </c>
      <c r="E224" s="106" t="s">
        <v>788</v>
      </c>
      <c r="F224" s="107">
        <v>0</v>
      </c>
      <c r="G224" s="106" t="s">
        <v>1582</v>
      </c>
      <c r="H224" s="106" t="s">
        <v>53</v>
      </c>
      <c r="I224" s="106" t="s">
        <v>786</v>
      </c>
      <c r="J224" s="106" t="s">
        <v>327</v>
      </c>
      <c r="K224" s="106" t="s">
        <v>382</v>
      </c>
      <c r="L224" s="106" t="s">
        <v>884</v>
      </c>
      <c r="M224" s="106" t="s">
        <v>388</v>
      </c>
      <c r="N224" s="106" t="s">
        <v>43</v>
      </c>
      <c r="O224" s="106" t="s">
        <v>541</v>
      </c>
      <c r="P224" s="106" t="s">
        <v>866</v>
      </c>
      <c r="Q224" s="106" t="s">
        <v>819</v>
      </c>
      <c r="R224" s="106" t="s">
        <v>53</v>
      </c>
      <c r="S224" s="83" t="str">
        <f t="shared" si="23"/>
        <v>40742A-CBH</v>
      </c>
      <c r="T224" s="83" t="str">
        <f t="shared" si="24"/>
        <v>Chicago Blackhawks Blue Line NHL</v>
      </c>
      <c r="Y224" s="60">
        <f t="shared" si="25"/>
        <v>6</v>
      </c>
      <c r="Z224" s="49">
        <f t="shared" si="26"/>
        <v>196</v>
      </c>
      <c r="AA224" s="60">
        <f t="shared" si="27"/>
        <v>6196</v>
      </c>
    </row>
    <row r="225" spans="1:27">
      <c r="A225" s="83" t="str">
        <f t="shared" si="21"/>
        <v>40742A-CFLred</v>
      </c>
      <c r="B225" s="83" t="str">
        <f t="shared" si="22"/>
        <v>06-197-18</v>
      </c>
      <c r="C225" s="106" t="s">
        <v>1583</v>
      </c>
      <c r="D225" s="106" t="s">
        <v>1584</v>
      </c>
      <c r="E225" s="106" t="s">
        <v>788</v>
      </c>
      <c r="F225" s="107">
        <v>0</v>
      </c>
      <c r="G225" s="106" t="s">
        <v>1585</v>
      </c>
      <c r="H225" s="106" t="s">
        <v>78</v>
      </c>
      <c r="I225" s="106" t="s">
        <v>786</v>
      </c>
      <c r="J225" s="106" t="s">
        <v>327</v>
      </c>
      <c r="K225" s="106" t="s">
        <v>382</v>
      </c>
      <c r="L225" s="106" t="s">
        <v>884</v>
      </c>
      <c r="M225" s="106" t="s">
        <v>388</v>
      </c>
      <c r="N225" s="106" t="s">
        <v>43</v>
      </c>
      <c r="O225" s="106" t="s">
        <v>541</v>
      </c>
      <c r="P225" s="106" t="s">
        <v>866</v>
      </c>
      <c r="Q225" s="106" t="s">
        <v>822</v>
      </c>
      <c r="R225" s="106" t="s">
        <v>78</v>
      </c>
      <c r="S225" s="83" t="str">
        <f t="shared" si="23"/>
        <v>40742A-CFL</v>
      </c>
      <c r="T225" s="83" t="str">
        <f t="shared" si="24"/>
        <v>Calgary Flames Blue Line NHL</v>
      </c>
      <c r="Y225" s="60">
        <f t="shared" si="25"/>
        <v>6</v>
      </c>
      <c r="Z225" s="49">
        <f t="shared" si="26"/>
        <v>197</v>
      </c>
      <c r="AA225" s="60">
        <f t="shared" si="27"/>
        <v>6197</v>
      </c>
    </row>
    <row r="226" spans="1:27">
      <c r="A226" s="83" t="str">
        <f t="shared" si="21"/>
        <v>40742A-COAmaroon</v>
      </c>
      <c r="B226" s="83" t="str">
        <f t="shared" si="22"/>
        <v>06-198-12</v>
      </c>
      <c r="C226" s="106" t="s">
        <v>1586</v>
      </c>
      <c r="D226" s="106" t="s">
        <v>1587</v>
      </c>
      <c r="E226" s="106" t="s">
        <v>788</v>
      </c>
      <c r="F226" s="107">
        <v>0</v>
      </c>
      <c r="G226" s="106" t="s">
        <v>1588</v>
      </c>
      <c r="H226" s="106" t="s">
        <v>121</v>
      </c>
      <c r="I226" s="106" t="s">
        <v>786</v>
      </c>
      <c r="J226" s="106" t="s">
        <v>327</v>
      </c>
      <c r="K226" s="106" t="s">
        <v>382</v>
      </c>
      <c r="L226" s="106" t="s">
        <v>884</v>
      </c>
      <c r="M226" s="106" t="s">
        <v>388</v>
      </c>
      <c r="N226" s="106" t="s">
        <v>43</v>
      </c>
      <c r="O226" s="106" t="s">
        <v>541</v>
      </c>
      <c r="P226" s="106" t="s">
        <v>866</v>
      </c>
      <c r="Q226" s="106" t="s">
        <v>1589</v>
      </c>
      <c r="R226" s="106" t="s">
        <v>121</v>
      </c>
      <c r="S226" s="83" t="str">
        <f t="shared" si="23"/>
        <v>40742A-COA</v>
      </c>
      <c r="T226" s="83" t="str">
        <f t="shared" si="24"/>
        <v>Colorado Avalanche Blue Line NHL</v>
      </c>
      <c r="Y226" s="60">
        <f t="shared" si="25"/>
        <v>6</v>
      </c>
      <c r="Z226" s="49">
        <f t="shared" si="26"/>
        <v>198</v>
      </c>
      <c r="AA226" s="60">
        <f t="shared" si="27"/>
        <v>6198</v>
      </c>
    </row>
    <row r="227" spans="1:27">
      <c r="A227" s="83" t="str">
        <f t="shared" si="21"/>
        <v>40742A-EDOroyal</v>
      </c>
      <c r="B227" s="83" t="str">
        <f t="shared" si="22"/>
        <v>06-199-06</v>
      </c>
      <c r="C227" s="106" t="s">
        <v>1590</v>
      </c>
      <c r="D227" s="106" t="s">
        <v>1591</v>
      </c>
      <c r="E227" s="106" t="s">
        <v>788</v>
      </c>
      <c r="F227" s="107">
        <v>0</v>
      </c>
      <c r="G227" s="106" t="s">
        <v>1592</v>
      </c>
      <c r="H227" s="106" t="s">
        <v>71</v>
      </c>
      <c r="I227" s="106" t="s">
        <v>786</v>
      </c>
      <c r="J227" s="106" t="s">
        <v>327</v>
      </c>
      <c r="K227" s="106" t="s">
        <v>382</v>
      </c>
      <c r="L227" s="106" t="s">
        <v>884</v>
      </c>
      <c r="M227" s="106" t="s">
        <v>388</v>
      </c>
      <c r="N227" s="106" t="s">
        <v>43</v>
      </c>
      <c r="O227" s="106" t="s">
        <v>541</v>
      </c>
      <c r="P227" s="106" t="s">
        <v>866</v>
      </c>
      <c r="Q227" s="106" t="s">
        <v>1576</v>
      </c>
      <c r="R227" s="106" t="s">
        <v>71</v>
      </c>
      <c r="S227" s="83" t="str">
        <f t="shared" si="23"/>
        <v>40742A-EDO</v>
      </c>
      <c r="T227" s="83" t="str">
        <f t="shared" si="24"/>
        <v>Edmonton Oilers Blue Line NHL</v>
      </c>
      <c r="Y227" s="60">
        <f t="shared" si="25"/>
        <v>6</v>
      </c>
      <c r="Z227" s="49">
        <f t="shared" si="26"/>
        <v>199</v>
      </c>
      <c r="AA227" s="60">
        <f t="shared" si="27"/>
        <v>6199</v>
      </c>
    </row>
    <row r="228" spans="1:27">
      <c r="A228" s="83" t="str">
        <f t="shared" si="21"/>
        <v>40742A-SLBroyal</v>
      </c>
      <c r="B228" s="83" t="str">
        <f t="shared" si="22"/>
        <v>06-200-06</v>
      </c>
      <c r="C228" s="106" t="s">
        <v>1593</v>
      </c>
      <c r="D228" s="106" t="s">
        <v>1594</v>
      </c>
      <c r="E228" s="106" t="s">
        <v>788</v>
      </c>
      <c r="F228" s="107">
        <v>0</v>
      </c>
      <c r="G228" s="106" t="s">
        <v>1595</v>
      </c>
      <c r="H228" s="106" t="s">
        <v>71</v>
      </c>
      <c r="I228" s="106" t="s">
        <v>786</v>
      </c>
      <c r="J228" s="106" t="s">
        <v>327</v>
      </c>
      <c r="K228" s="106" t="s">
        <v>382</v>
      </c>
      <c r="L228" s="106" t="s">
        <v>884</v>
      </c>
      <c r="M228" s="106" t="s">
        <v>388</v>
      </c>
      <c r="N228" s="106" t="s">
        <v>43</v>
      </c>
      <c r="O228" s="106" t="s">
        <v>541</v>
      </c>
      <c r="P228" s="106" t="s">
        <v>866</v>
      </c>
      <c r="Q228" s="106" t="s">
        <v>1576</v>
      </c>
      <c r="R228" s="106" t="s">
        <v>71</v>
      </c>
      <c r="S228" s="83" t="str">
        <f t="shared" si="23"/>
        <v>40742A-SLB</v>
      </c>
      <c r="T228" s="83" t="str">
        <f t="shared" si="24"/>
        <v>Saint Louis Blues Blue Line NHL</v>
      </c>
      <c r="Y228" s="60">
        <f t="shared" si="25"/>
        <v>6</v>
      </c>
      <c r="Z228" s="49">
        <f t="shared" si="26"/>
        <v>200</v>
      </c>
      <c r="AA228" s="60">
        <f t="shared" si="27"/>
        <v>6200</v>
      </c>
    </row>
    <row r="229" spans="1:27">
      <c r="A229" s="83" t="str">
        <f t="shared" si="21"/>
        <v>40742A-TBLroyal</v>
      </c>
      <c r="B229" s="83" t="str">
        <f t="shared" si="22"/>
        <v>06-201-06</v>
      </c>
      <c r="C229" s="106" t="s">
        <v>1596</v>
      </c>
      <c r="D229" s="106" t="s">
        <v>1597</v>
      </c>
      <c r="E229" s="106" t="s">
        <v>788</v>
      </c>
      <c r="F229" s="107">
        <v>0</v>
      </c>
      <c r="G229" s="106" t="s">
        <v>1598</v>
      </c>
      <c r="H229" s="106" t="s">
        <v>71</v>
      </c>
      <c r="I229" s="106" t="s">
        <v>786</v>
      </c>
      <c r="J229" s="106" t="s">
        <v>327</v>
      </c>
      <c r="K229" s="106" t="s">
        <v>382</v>
      </c>
      <c r="L229" s="106" t="s">
        <v>884</v>
      </c>
      <c r="M229" s="106" t="s">
        <v>388</v>
      </c>
      <c r="N229" s="106" t="s">
        <v>43</v>
      </c>
      <c r="O229" s="106" t="s">
        <v>541</v>
      </c>
      <c r="P229" s="106" t="s">
        <v>866</v>
      </c>
      <c r="Q229" s="106" t="s">
        <v>1576</v>
      </c>
      <c r="R229" s="106" t="s">
        <v>71</v>
      </c>
      <c r="S229" s="83" t="str">
        <f t="shared" si="23"/>
        <v>40742A-TBL</v>
      </c>
      <c r="T229" s="83" t="str">
        <f t="shared" si="24"/>
        <v>Tampa Bay Lightning Blue Line NHL</v>
      </c>
      <c r="Y229" s="60">
        <f t="shared" si="25"/>
        <v>6</v>
      </c>
      <c r="Z229" s="49">
        <f t="shared" si="26"/>
        <v>201</v>
      </c>
      <c r="AA229" s="60">
        <f t="shared" si="27"/>
        <v>6201</v>
      </c>
    </row>
    <row r="230" spans="1:27">
      <c r="A230" s="83" t="str">
        <f t="shared" si="21"/>
        <v>40742B-BUSroyal</v>
      </c>
      <c r="B230" s="83" t="str">
        <f t="shared" si="22"/>
        <v>06-202-06</v>
      </c>
      <c r="C230" s="106" t="s">
        <v>1599</v>
      </c>
      <c r="D230" s="106" t="s">
        <v>1600</v>
      </c>
      <c r="E230" s="106" t="s">
        <v>788</v>
      </c>
      <c r="F230" s="107">
        <v>0</v>
      </c>
      <c r="G230" s="106" t="s">
        <v>1601</v>
      </c>
      <c r="H230" s="106" t="s">
        <v>71</v>
      </c>
      <c r="I230" s="106" t="s">
        <v>786</v>
      </c>
      <c r="J230" s="106" t="s">
        <v>327</v>
      </c>
      <c r="K230" s="106" t="s">
        <v>382</v>
      </c>
      <c r="L230" s="106" t="s">
        <v>884</v>
      </c>
      <c r="M230" s="106" t="s">
        <v>388</v>
      </c>
      <c r="N230" s="106" t="s">
        <v>43</v>
      </c>
      <c r="O230" s="106" t="s">
        <v>541</v>
      </c>
      <c r="P230" s="106" t="s">
        <v>866</v>
      </c>
      <c r="Q230" s="106" t="s">
        <v>1576</v>
      </c>
      <c r="R230" s="106" t="s">
        <v>71</v>
      </c>
      <c r="S230" s="83" t="str">
        <f t="shared" si="23"/>
        <v>40742B-BUS</v>
      </c>
      <c r="T230" s="83" t="str">
        <f t="shared" si="24"/>
        <v>Buffalo Sabres Blue Line NHL</v>
      </c>
      <c r="Y230" s="60">
        <f t="shared" si="25"/>
        <v>6</v>
      </c>
      <c r="Z230" s="49">
        <f t="shared" si="26"/>
        <v>202</v>
      </c>
      <c r="AA230" s="60">
        <f t="shared" si="27"/>
        <v>6202</v>
      </c>
    </row>
    <row r="231" spans="1:27">
      <c r="A231" s="83" t="str">
        <f t="shared" si="21"/>
        <v>40742B-HAWnavy</v>
      </c>
      <c r="B231" s="83" t="str">
        <f t="shared" si="22"/>
        <v>06-203-16</v>
      </c>
      <c r="C231" s="106" t="s">
        <v>1602</v>
      </c>
      <c r="D231" s="106" t="s">
        <v>1603</v>
      </c>
      <c r="E231" s="106" t="s">
        <v>788</v>
      </c>
      <c r="F231" s="107">
        <v>0</v>
      </c>
      <c r="G231" s="106" t="s">
        <v>1604</v>
      </c>
      <c r="H231" s="106" t="s">
        <v>55</v>
      </c>
      <c r="I231" s="106" t="s">
        <v>786</v>
      </c>
      <c r="J231" s="106" t="s">
        <v>327</v>
      </c>
      <c r="K231" s="106" t="s">
        <v>382</v>
      </c>
      <c r="L231" s="106" t="s">
        <v>884</v>
      </c>
      <c r="M231" s="106" t="s">
        <v>388</v>
      </c>
      <c r="N231" s="106" t="s">
        <v>43</v>
      </c>
      <c r="O231" s="106" t="s">
        <v>541</v>
      </c>
      <c r="P231" s="106" t="s">
        <v>866</v>
      </c>
      <c r="Q231" s="106" t="s">
        <v>818</v>
      </c>
      <c r="R231" s="106" t="s">
        <v>71</v>
      </c>
      <c r="S231" s="83" t="str">
        <f t="shared" si="23"/>
        <v>40742B-HAW</v>
      </c>
      <c r="T231" s="83" t="str">
        <f t="shared" si="24"/>
        <v>Hartford Whalers Blue Line NHL</v>
      </c>
      <c r="Y231" s="60">
        <f t="shared" si="25"/>
        <v>6</v>
      </c>
      <c r="Z231" s="49">
        <f t="shared" si="26"/>
        <v>203</v>
      </c>
      <c r="AA231" s="60">
        <f t="shared" si="27"/>
        <v>6203</v>
      </c>
    </row>
    <row r="232" spans="1:27">
      <c r="A232" s="83" t="str">
        <f t="shared" si="21"/>
        <v>40742B-LAKblack</v>
      </c>
      <c r="B232" s="83" t="str">
        <f t="shared" si="22"/>
        <v>06-204-09</v>
      </c>
      <c r="C232" s="106" t="s">
        <v>1605</v>
      </c>
      <c r="D232" s="106" t="s">
        <v>1606</v>
      </c>
      <c r="E232" s="106" t="s">
        <v>788</v>
      </c>
      <c r="F232" s="107">
        <v>0</v>
      </c>
      <c r="G232" s="106" t="s">
        <v>1607</v>
      </c>
      <c r="H232" s="106" t="s">
        <v>53</v>
      </c>
      <c r="I232" s="106" t="s">
        <v>786</v>
      </c>
      <c r="J232" s="106" t="s">
        <v>327</v>
      </c>
      <c r="K232" s="106" t="s">
        <v>382</v>
      </c>
      <c r="L232" s="106" t="s">
        <v>884</v>
      </c>
      <c r="M232" s="106" t="s">
        <v>388</v>
      </c>
      <c r="N232" s="106" t="s">
        <v>43</v>
      </c>
      <c r="O232" s="106" t="s">
        <v>541</v>
      </c>
      <c r="P232" s="106" t="s">
        <v>866</v>
      </c>
      <c r="Q232" s="106" t="s">
        <v>819</v>
      </c>
      <c r="R232" s="106" t="s">
        <v>53</v>
      </c>
      <c r="S232" s="83" t="str">
        <f t="shared" si="23"/>
        <v>40742B-LAK</v>
      </c>
      <c r="T232" s="83" t="str">
        <f t="shared" si="24"/>
        <v>Los Angeles Kings Blue Line NHL</v>
      </c>
      <c r="Y232" s="60">
        <f t="shared" si="25"/>
        <v>6</v>
      </c>
      <c r="Z232" s="49">
        <f t="shared" si="26"/>
        <v>204</v>
      </c>
      <c r="AA232" s="60">
        <f t="shared" si="27"/>
        <v>6204</v>
      </c>
    </row>
    <row r="233" spans="1:27">
      <c r="A233" s="83" t="str">
        <f t="shared" si="21"/>
        <v>40742B-MNWblack</v>
      </c>
      <c r="B233" s="83" t="str">
        <f t="shared" si="22"/>
        <v>06-205-09</v>
      </c>
      <c r="C233" s="106" t="s">
        <v>1608</v>
      </c>
      <c r="D233" s="106" t="s">
        <v>1609</v>
      </c>
      <c r="E233" s="106" t="s">
        <v>788</v>
      </c>
      <c r="F233" s="107">
        <v>0</v>
      </c>
      <c r="G233" s="106" t="s">
        <v>1610</v>
      </c>
      <c r="H233" s="106" t="s">
        <v>53</v>
      </c>
      <c r="I233" s="106" t="s">
        <v>786</v>
      </c>
      <c r="J233" s="106" t="s">
        <v>327</v>
      </c>
      <c r="K233" s="106" t="s">
        <v>382</v>
      </c>
      <c r="L233" s="106" t="s">
        <v>884</v>
      </c>
      <c r="M233" s="106" t="s">
        <v>388</v>
      </c>
      <c r="N233" s="106" t="s">
        <v>43</v>
      </c>
      <c r="O233" s="106" t="s">
        <v>541</v>
      </c>
      <c r="P233" s="106" t="s">
        <v>866</v>
      </c>
      <c r="Q233" s="106" t="s">
        <v>819</v>
      </c>
      <c r="R233" s="106" t="s">
        <v>53</v>
      </c>
      <c r="S233" s="83" t="str">
        <f t="shared" si="23"/>
        <v>40742B-MNW</v>
      </c>
      <c r="T233" s="83" t="str">
        <f t="shared" si="24"/>
        <v>Minnesota Wild Blue Line NHL</v>
      </c>
      <c r="Y233" s="60">
        <f t="shared" si="25"/>
        <v>6</v>
      </c>
      <c r="Z233" s="49">
        <f t="shared" si="26"/>
        <v>205</v>
      </c>
      <c r="AA233" s="60">
        <f t="shared" si="27"/>
        <v>6205</v>
      </c>
    </row>
    <row r="234" spans="1:27">
      <c r="A234" s="83" t="str">
        <f t="shared" si="21"/>
        <v>41152A-BBRblack</v>
      </c>
      <c r="B234" s="83" t="str">
        <f t="shared" si="22"/>
        <v>06-206-09</v>
      </c>
      <c r="C234" s="106" t="s">
        <v>1611</v>
      </c>
      <c r="D234" s="106" t="s">
        <v>1612</v>
      </c>
      <c r="E234" s="106" t="s">
        <v>788</v>
      </c>
      <c r="F234" s="107">
        <v>0</v>
      </c>
      <c r="G234" s="106" t="s">
        <v>1613</v>
      </c>
      <c r="H234" s="106" t="s">
        <v>53</v>
      </c>
      <c r="I234" s="106" t="s">
        <v>1034</v>
      </c>
      <c r="J234" s="106" t="s">
        <v>356</v>
      </c>
      <c r="K234" s="106" t="s">
        <v>382</v>
      </c>
      <c r="L234" s="106" t="s">
        <v>884</v>
      </c>
      <c r="M234" s="106" t="s">
        <v>388</v>
      </c>
      <c r="N234" s="106" t="s">
        <v>43</v>
      </c>
      <c r="O234" s="106" t="s">
        <v>541</v>
      </c>
      <c r="P234" s="106" t="s">
        <v>866</v>
      </c>
      <c r="Q234" s="106" t="s">
        <v>819</v>
      </c>
      <c r="R234" s="106" t="s">
        <v>53</v>
      </c>
      <c r="S234" s="83" t="str">
        <f t="shared" si="23"/>
        <v>41152A-BBR</v>
      </c>
      <c r="T234" s="83" t="str">
        <f t="shared" si="24"/>
        <v>Boston Bruins Raglan Bones NHL</v>
      </c>
      <c r="Y234" s="60">
        <f t="shared" si="25"/>
        <v>6</v>
      </c>
      <c r="Z234" s="49">
        <f t="shared" si="26"/>
        <v>206</v>
      </c>
      <c r="AA234" s="60">
        <f t="shared" si="27"/>
        <v>6206</v>
      </c>
    </row>
    <row r="235" spans="1:27">
      <c r="A235" s="83" t="str">
        <f t="shared" si="21"/>
        <v>41152A-CAHred</v>
      </c>
      <c r="B235" s="83" t="str">
        <f t="shared" si="22"/>
        <v>06-207-18</v>
      </c>
      <c r="C235" s="106" t="s">
        <v>1614</v>
      </c>
      <c r="D235" s="106" t="s">
        <v>1615</v>
      </c>
      <c r="E235" s="106" t="s">
        <v>788</v>
      </c>
      <c r="F235" s="107">
        <v>0</v>
      </c>
      <c r="G235" s="106" t="s">
        <v>1616</v>
      </c>
      <c r="H235" s="106" t="s">
        <v>78</v>
      </c>
      <c r="I235" s="106" t="s">
        <v>1034</v>
      </c>
      <c r="J235" s="106" t="s">
        <v>356</v>
      </c>
      <c r="K235" s="106" t="s">
        <v>382</v>
      </c>
      <c r="L235" s="106" t="s">
        <v>884</v>
      </c>
      <c r="M235" s="106" t="s">
        <v>388</v>
      </c>
      <c r="N235" s="106" t="s">
        <v>43</v>
      </c>
      <c r="O235" s="106" t="s">
        <v>541</v>
      </c>
      <c r="P235" s="106" t="s">
        <v>866</v>
      </c>
      <c r="Q235" s="106" t="s">
        <v>822</v>
      </c>
      <c r="R235" s="106" t="s">
        <v>78</v>
      </c>
      <c r="S235" s="83" t="str">
        <f t="shared" si="23"/>
        <v>41152A-CAH</v>
      </c>
      <c r="T235" s="83" t="str">
        <f t="shared" si="24"/>
        <v>Carolina Hurricanes Raglan Bones NHL</v>
      </c>
      <c r="Y235" s="60">
        <f t="shared" si="25"/>
        <v>6</v>
      </c>
      <c r="Z235" s="49">
        <f t="shared" si="26"/>
        <v>207</v>
      </c>
      <c r="AA235" s="60">
        <f t="shared" si="27"/>
        <v>6207</v>
      </c>
    </row>
    <row r="236" spans="1:27">
      <c r="A236" s="83" t="str">
        <f t="shared" si="21"/>
        <v>41152A-CBHblack</v>
      </c>
      <c r="B236" s="83" t="str">
        <f t="shared" si="22"/>
        <v>06-208-09</v>
      </c>
      <c r="C236" s="106" t="s">
        <v>1617</v>
      </c>
      <c r="D236" s="106" t="s">
        <v>1618</v>
      </c>
      <c r="E236" s="106" t="s">
        <v>788</v>
      </c>
      <c r="F236" s="107">
        <v>0</v>
      </c>
      <c r="G236" s="106" t="s">
        <v>1619</v>
      </c>
      <c r="H236" s="106" t="s">
        <v>53</v>
      </c>
      <c r="I236" s="106" t="s">
        <v>1034</v>
      </c>
      <c r="J236" s="106" t="s">
        <v>356</v>
      </c>
      <c r="K236" s="106" t="s">
        <v>382</v>
      </c>
      <c r="L236" s="106" t="s">
        <v>884</v>
      </c>
      <c r="M236" s="106" t="s">
        <v>388</v>
      </c>
      <c r="N236" s="106" t="s">
        <v>43</v>
      </c>
      <c r="O236" s="106" t="s">
        <v>541</v>
      </c>
      <c r="P236" s="106" t="s">
        <v>866</v>
      </c>
      <c r="Q236" s="106" t="s">
        <v>819</v>
      </c>
      <c r="R236" s="106" t="s">
        <v>53</v>
      </c>
      <c r="S236" s="83" t="str">
        <f t="shared" si="23"/>
        <v>41152A-CBH</v>
      </c>
      <c r="T236" s="83" t="str">
        <f t="shared" si="24"/>
        <v>Chicago Blackhawks Raglan Bones NHL</v>
      </c>
      <c r="Y236" s="60">
        <f t="shared" si="25"/>
        <v>6</v>
      </c>
      <c r="Z236" s="49">
        <f t="shared" si="26"/>
        <v>208</v>
      </c>
      <c r="AA236" s="60">
        <f t="shared" si="27"/>
        <v>6208</v>
      </c>
    </row>
    <row r="237" spans="1:27">
      <c r="A237" s="83" t="str">
        <f t="shared" si="21"/>
        <v>41152A-DRWblack</v>
      </c>
      <c r="B237" s="83" t="str">
        <f t="shared" si="22"/>
        <v>06-209-09</v>
      </c>
      <c r="C237" s="106" t="s">
        <v>1620</v>
      </c>
      <c r="D237" s="106" t="s">
        <v>1621</v>
      </c>
      <c r="E237" s="106" t="s">
        <v>788</v>
      </c>
      <c r="F237" s="107">
        <v>0</v>
      </c>
      <c r="G237" s="106" t="s">
        <v>1622</v>
      </c>
      <c r="H237" s="106" t="s">
        <v>53</v>
      </c>
      <c r="I237" s="106" t="s">
        <v>1034</v>
      </c>
      <c r="J237" s="106" t="s">
        <v>356</v>
      </c>
      <c r="K237" s="106" t="s">
        <v>382</v>
      </c>
      <c r="L237" s="106" t="s">
        <v>884</v>
      </c>
      <c r="M237" s="106" t="s">
        <v>388</v>
      </c>
      <c r="N237" s="106" t="s">
        <v>43</v>
      </c>
      <c r="O237" s="106" t="s">
        <v>541</v>
      </c>
      <c r="P237" s="106" t="s">
        <v>866</v>
      </c>
      <c r="Q237" s="106" t="s">
        <v>819</v>
      </c>
      <c r="R237" s="106" t="s">
        <v>53</v>
      </c>
      <c r="S237" s="83" t="str">
        <f t="shared" si="23"/>
        <v>41152A-DRW</v>
      </c>
      <c r="T237" s="83" t="str">
        <f t="shared" si="24"/>
        <v>Detroit Red Wings Raglan Bones NHL</v>
      </c>
      <c r="Y237" s="60">
        <f t="shared" si="25"/>
        <v>6</v>
      </c>
      <c r="Z237" s="49">
        <f t="shared" si="26"/>
        <v>209</v>
      </c>
      <c r="AA237" s="60">
        <f t="shared" si="27"/>
        <v>6209</v>
      </c>
    </row>
    <row r="238" spans="1:27">
      <c r="A238" s="83" t="str">
        <f t="shared" si="21"/>
        <v>41152A-PHFblack</v>
      </c>
      <c r="B238" s="83" t="str">
        <f t="shared" si="22"/>
        <v>06-210-09</v>
      </c>
      <c r="C238" s="106" t="s">
        <v>1623</v>
      </c>
      <c r="D238" s="106" t="s">
        <v>1624</v>
      </c>
      <c r="E238" s="106" t="s">
        <v>788</v>
      </c>
      <c r="F238" s="107">
        <v>0</v>
      </c>
      <c r="G238" s="106" t="s">
        <v>1625</v>
      </c>
      <c r="H238" s="106" t="s">
        <v>53</v>
      </c>
      <c r="I238" s="106" t="s">
        <v>1034</v>
      </c>
      <c r="J238" s="106" t="s">
        <v>356</v>
      </c>
      <c r="K238" s="106" t="s">
        <v>382</v>
      </c>
      <c r="L238" s="106" t="s">
        <v>884</v>
      </c>
      <c r="M238" s="106" t="s">
        <v>388</v>
      </c>
      <c r="N238" s="106" t="s">
        <v>43</v>
      </c>
      <c r="O238" s="106" t="s">
        <v>541</v>
      </c>
      <c r="P238" s="106" t="s">
        <v>866</v>
      </c>
      <c r="Q238" s="106" t="s">
        <v>819</v>
      </c>
      <c r="R238" s="106" t="s">
        <v>53</v>
      </c>
      <c r="S238" s="83" t="str">
        <f t="shared" si="23"/>
        <v>41152A-PHF</v>
      </c>
      <c r="T238" s="83" t="str">
        <f t="shared" si="24"/>
        <v>Philadelphia Flyers Raglan Bones NHL</v>
      </c>
      <c r="Y238" s="60">
        <f t="shared" si="25"/>
        <v>6</v>
      </c>
      <c r="Z238" s="49">
        <f t="shared" si="26"/>
        <v>210</v>
      </c>
      <c r="AA238" s="60">
        <f t="shared" si="27"/>
        <v>6210</v>
      </c>
    </row>
    <row r="239" spans="1:27">
      <c r="A239" s="83" t="str">
        <f t="shared" si="21"/>
        <v>41152A-PPNblack</v>
      </c>
      <c r="B239" s="83" t="str">
        <f t="shared" si="22"/>
        <v>06-211-09</v>
      </c>
      <c r="C239" s="106" t="s">
        <v>1626</v>
      </c>
      <c r="D239" s="106" t="s">
        <v>1627</v>
      </c>
      <c r="E239" s="106" t="s">
        <v>788</v>
      </c>
      <c r="F239" s="107">
        <v>0</v>
      </c>
      <c r="G239" s="106" t="s">
        <v>1628</v>
      </c>
      <c r="H239" s="106" t="s">
        <v>53</v>
      </c>
      <c r="I239" s="106" t="s">
        <v>1034</v>
      </c>
      <c r="J239" s="106" t="s">
        <v>356</v>
      </c>
      <c r="K239" s="106" t="s">
        <v>382</v>
      </c>
      <c r="L239" s="106" t="s">
        <v>884</v>
      </c>
      <c r="M239" s="106" t="s">
        <v>388</v>
      </c>
      <c r="N239" s="106" t="s">
        <v>43</v>
      </c>
      <c r="O239" s="106" t="s">
        <v>541</v>
      </c>
      <c r="P239" s="106" t="s">
        <v>866</v>
      </c>
      <c r="Q239" s="106" t="s">
        <v>819</v>
      </c>
      <c r="R239" s="106" t="s">
        <v>53</v>
      </c>
      <c r="S239" s="83" t="str">
        <f t="shared" si="23"/>
        <v>41152A-PPN</v>
      </c>
      <c r="T239" s="83" t="str">
        <f t="shared" si="24"/>
        <v>Pittsburgh Penguins Raglan Bones NHL</v>
      </c>
      <c r="Y239" s="60">
        <f t="shared" si="25"/>
        <v>6</v>
      </c>
      <c r="Z239" s="49">
        <f t="shared" si="26"/>
        <v>211</v>
      </c>
      <c r="AA239" s="60">
        <f t="shared" si="27"/>
        <v>6211</v>
      </c>
    </row>
    <row r="240" spans="1:27">
      <c r="A240" s="83" t="str">
        <f t="shared" si="21"/>
        <v>41152A-SLBroyal</v>
      </c>
      <c r="B240" s="83" t="str">
        <f t="shared" si="22"/>
        <v>06-212-06</v>
      </c>
      <c r="C240" s="106" t="s">
        <v>1629</v>
      </c>
      <c r="D240" s="106" t="s">
        <v>1630</v>
      </c>
      <c r="E240" s="106" t="s">
        <v>788</v>
      </c>
      <c r="F240" s="107">
        <v>0</v>
      </c>
      <c r="G240" s="106" t="s">
        <v>1631</v>
      </c>
      <c r="H240" s="106" t="s">
        <v>71</v>
      </c>
      <c r="I240" s="106" t="s">
        <v>1034</v>
      </c>
      <c r="J240" s="106" t="s">
        <v>356</v>
      </c>
      <c r="K240" s="106" t="s">
        <v>382</v>
      </c>
      <c r="L240" s="106" t="s">
        <v>884</v>
      </c>
      <c r="M240" s="106" t="s">
        <v>388</v>
      </c>
      <c r="N240" s="106" t="s">
        <v>43</v>
      </c>
      <c r="O240" s="106" t="s">
        <v>541</v>
      </c>
      <c r="P240" s="106" t="s">
        <v>866</v>
      </c>
      <c r="Q240" s="106" t="s">
        <v>1576</v>
      </c>
      <c r="R240" s="106" t="s">
        <v>71</v>
      </c>
      <c r="S240" s="83" t="str">
        <f t="shared" si="23"/>
        <v>41152A-SLB</v>
      </c>
      <c r="T240" s="83" t="str">
        <f t="shared" si="24"/>
        <v>Saint Louis Blues Raglan Bones NHL</v>
      </c>
      <c r="Y240" s="60">
        <f t="shared" si="25"/>
        <v>6</v>
      </c>
      <c r="Z240" s="49">
        <f t="shared" si="26"/>
        <v>212</v>
      </c>
      <c r="AA240" s="60">
        <f t="shared" si="27"/>
        <v>6212</v>
      </c>
    </row>
    <row r="241" spans="1:27">
      <c r="A241" s="83" t="str">
        <f t="shared" si="21"/>
        <v>41152A-WACnavy</v>
      </c>
      <c r="B241" s="83" t="str">
        <f t="shared" si="22"/>
        <v>06-213-16</v>
      </c>
      <c r="C241" s="106" t="s">
        <v>1632</v>
      </c>
      <c r="D241" s="106" t="s">
        <v>1633</v>
      </c>
      <c r="E241" s="106" t="s">
        <v>788</v>
      </c>
      <c r="F241" s="107">
        <v>0</v>
      </c>
      <c r="G241" s="106" t="s">
        <v>1634</v>
      </c>
      <c r="H241" s="106" t="s">
        <v>55</v>
      </c>
      <c r="I241" s="106" t="s">
        <v>1034</v>
      </c>
      <c r="J241" s="106" t="s">
        <v>356</v>
      </c>
      <c r="K241" s="106" t="s">
        <v>382</v>
      </c>
      <c r="L241" s="106" t="s">
        <v>884</v>
      </c>
      <c r="M241" s="106" t="s">
        <v>388</v>
      </c>
      <c r="N241" s="106" t="s">
        <v>43</v>
      </c>
      <c r="O241" s="106" t="s">
        <v>541</v>
      </c>
      <c r="P241" s="106" t="s">
        <v>866</v>
      </c>
      <c r="Q241" s="106" t="s">
        <v>818</v>
      </c>
      <c r="R241" s="106" t="s">
        <v>71</v>
      </c>
      <c r="S241" s="83" t="str">
        <f t="shared" si="23"/>
        <v>41152A-WAC</v>
      </c>
      <c r="T241" s="83" t="str">
        <f t="shared" si="24"/>
        <v>Washington Capitals Raglan Bones NHL</v>
      </c>
      <c r="Y241" s="60">
        <f t="shared" si="25"/>
        <v>6</v>
      </c>
      <c r="Z241" s="49">
        <f t="shared" si="26"/>
        <v>213</v>
      </c>
      <c r="AA241" s="60">
        <f t="shared" si="27"/>
        <v>6213</v>
      </c>
    </row>
    <row r="242" spans="1:27">
      <c r="A242" s="83" t="str">
        <f t="shared" si="21"/>
        <v>41722A-CAHblack-red</v>
      </c>
      <c r="B242" s="83" t="str">
        <f t="shared" si="22"/>
        <v>06-214-72</v>
      </c>
      <c r="C242" s="106" t="s">
        <v>1635</v>
      </c>
      <c r="D242" s="106" t="s">
        <v>1636</v>
      </c>
      <c r="E242" s="106" t="s">
        <v>788</v>
      </c>
      <c r="F242" s="107">
        <v>0</v>
      </c>
      <c r="G242" s="106" t="s">
        <v>1637</v>
      </c>
      <c r="H242" s="106" t="s">
        <v>302</v>
      </c>
      <c r="I242" s="106" t="s">
        <v>786</v>
      </c>
      <c r="J242" s="106" t="s">
        <v>792</v>
      </c>
      <c r="K242" s="106" t="s">
        <v>382</v>
      </c>
      <c r="L242" s="106" t="s">
        <v>884</v>
      </c>
      <c r="M242" s="106" t="s">
        <v>388</v>
      </c>
      <c r="N242" s="106" t="s">
        <v>43</v>
      </c>
      <c r="O242" s="106" t="s">
        <v>541</v>
      </c>
      <c r="P242" s="106" t="s">
        <v>866</v>
      </c>
      <c r="Q242" s="106" t="s">
        <v>1638</v>
      </c>
      <c r="R242" s="106" t="s">
        <v>53</v>
      </c>
      <c r="S242" s="83" t="str">
        <f t="shared" si="23"/>
        <v>41722A-CAH</v>
      </c>
      <c r="T242" s="83" t="str">
        <f t="shared" si="24"/>
        <v>Carolina Hurricanes Outfield NHL</v>
      </c>
      <c r="Y242" s="60">
        <f t="shared" si="25"/>
        <v>6</v>
      </c>
      <c r="Z242" s="49">
        <f t="shared" si="26"/>
        <v>214</v>
      </c>
      <c r="AA242" s="60">
        <f t="shared" si="27"/>
        <v>6214</v>
      </c>
    </row>
    <row r="243" spans="1:27">
      <c r="A243" s="83" t="str">
        <f t="shared" si="21"/>
        <v>41722A-DASdkgrbk</v>
      </c>
      <c r="B243" s="83" t="str">
        <f t="shared" si="22"/>
        <v>06-215-51</v>
      </c>
      <c r="C243" s="106" t="s">
        <v>1639</v>
      </c>
      <c r="D243" s="106" t="s">
        <v>1640</v>
      </c>
      <c r="E243" s="106" t="s">
        <v>788</v>
      </c>
      <c r="F243" s="107">
        <v>0</v>
      </c>
      <c r="G243" s="106" t="s">
        <v>1641</v>
      </c>
      <c r="H243" s="106" t="s">
        <v>682</v>
      </c>
      <c r="I243" s="106" t="s">
        <v>786</v>
      </c>
      <c r="J243" s="106" t="s">
        <v>792</v>
      </c>
      <c r="K243" s="106" t="s">
        <v>382</v>
      </c>
      <c r="L243" s="106" t="s">
        <v>884</v>
      </c>
      <c r="M243" s="106" t="s">
        <v>388</v>
      </c>
      <c r="N243" s="106" t="s">
        <v>43</v>
      </c>
      <c r="O243" s="106" t="s">
        <v>541</v>
      </c>
      <c r="P243" s="106" t="s">
        <v>866</v>
      </c>
      <c r="Q243" s="106" t="s">
        <v>1642</v>
      </c>
      <c r="R243" s="106" t="s">
        <v>60</v>
      </c>
      <c r="S243" s="83" t="str">
        <f t="shared" si="23"/>
        <v>41722A-DAS</v>
      </c>
      <c r="T243" s="83" t="str">
        <f t="shared" si="24"/>
        <v>Dallas Stars Outfield NHL</v>
      </c>
      <c r="Y243" s="60">
        <f t="shared" si="25"/>
        <v>6</v>
      </c>
      <c r="Z243" s="49">
        <f t="shared" si="26"/>
        <v>215</v>
      </c>
      <c r="AA243" s="60">
        <f t="shared" si="27"/>
        <v>6215</v>
      </c>
    </row>
    <row r="244" spans="1:27">
      <c r="A244" s="83" t="str">
        <f t="shared" si="21"/>
        <v>41722A-DRWred-black</v>
      </c>
      <c r="B244" s="83" t="str">
        <f t="shared" si="22"/>
        <v>06-216-72</v>
      </c>
      <c r="C244" s="106" t="s">
        <v>1643</v>
      </c>
      <c r="D244" s="106" t="s">
        <v>1644</v>
      </c>
      <c r="E244" s="106" t="s">
        <v>788</v>
      </c>
      <c r="F244" s="107">
        <v>0</v>
      </c>
      <c r="G244" s="106" t="s">
        <v>1645</v>
      </c>
      <c r="H244" s="106" t="s">
        <v>186</v>
      </c>
      <c r="I244" s="106" t="s">
        <v>786</v>
      </c>
      <c r="J244" s="106" t="s">
        <v>792</v>
      </c>
      <c r="K244" s="106" t="s">
        <v>382</v>
      </c>
      <c r="L244" s="106" t="s">
        <v>884</v>
      </c>
      <c r="M244" s="106" t="s">
        <v>388</v>
      </c>
      <c r="N244" s="106" t="s">
        <v>43</v>
      </c>
      <c r="O244" s="106" t="s">
        <v>541</v>
      </c>
      <c r="P244" s="106" t="s">
        <v>866</v>
      </c>
      <c r="Q244" s="106" t="s">
        <v>1646</v>
      </c>
      <c r="R244" s="106" t="s">
        <v>78</v>
      </c>
      <c r="S244" s="83" t="str">
        <f t="shared" si="23"/>
        <v>41722A-DRW</v>
      </c>
      <c r="T244" s="83" t="str">
        <f t="shared" si="24"/>
        <v>Detroit Red Wings Outfield NHL</v>
      </c>
      <c r="Y244" s="60">
        <f t="shared" si="25"/>
        <v>6</v>
      </c>
      <c r="Z244" s="49">
        <f t="shared" si="26"/>
        <v>216</v>
      </c>
      <c r="AA244" s="60">
        <f t="shared" si="27"/>
        <v>6216</v>
      </c>
    </row>
    <row r="245" spans="1:27">
      <c r="A245" s="83" t="str">
        <f t="shared" si="21"/>
        <v>41722A-NYRroyal-red</v>
      </c>
      <c r="B245" s="83" t="str">
        <f t="shared" si="22"/>
        <v>06-217-21</v>
      </c>
      <c r="C245" s="106" t="s">
        <v>1647</v>
      </c>
      <c r="D245" s="106" t="s">
        <v>1648</v>
      </c>
      <c r="E245" s="106" t="s">
        <v>788</v>
      </c>
      <c r="F245" s="107">
        <v>0</v>
      </c>
      <c r="G245" s="106" t="s">
        <v>1649</v>
      </c>
      <c r="H245" s="106" t="s">
        <v>252</v>
      </c>
      <c r="I245" s="106" t="s">
        <v>786</v>
      </c>
      <c r="J245" s="106" t="s">
        <v>792</v>
      </c>
      <c r="K245" s="106" t="s">
        <v>382</v>
      </c>
      <c r="L245" s="106" t="s">
        <v>884</v>
      </c>
      <c r="M245" s="106" t="s">
        <v>388</v>
      </c>
      <c r="N245" s="106" t="s">
        <v>43</v>
      </c>
      <c r="O245" s="106" t="s">
        <v>541</v>
      </c>
      <c r="P245" s="106" t="s">
        <v>866</v>
      </c>
      <c r="Q245" s="106" t="s">
        <v>1483</v>
      </c>
      <c r="R245" s="106" t="s">
        <v>71</v>
      </c>
      <c r="S245" s="83" t="str">
        <f t="shared" si="23"/>
        <v>41722A-NYR</v>
      </c>
      <c r="T245" s="83" t="str">
        <f t="shared" si="24"/>
        <v>New York Rangers Outfield NHL</v>
      </c>
      <c r="Y245" s="60">
        <f t="shared" si="25"/>
        <v>6</v>
      </c>
      <c r="Z245" s="49">
        <f t="shared" si="26"/>
        <v>217</v>
      </c>
      <c r="AA245" s="60">
        <f t="shared" si="27"/>
        <v>6217</v>
      </c>
    </row>
    <row r="246" spans="1:27">
      <c r="A246" s="83" t="str">
        <f t="shared" si="21"/>
        <v>41722A-VGKbkgld</v>
      </c>
      <c r="B246" s="83" t="str">
        <f t="shared" si="22"/>
        <v>06-218-70</v>
      </c>
      <c r="C246" s="106" t="s">
        <v>1650</v>
      </c>
      <c r="D246" s="106" t="s">
        <v>1651</v>
      </c>
      <c r="E246" s="106" t="s">
        <v>788</v>
      </c>
      <c r="F246" s="107">
        <v>0</v>
      </c>
      <c r="G246" s="106" t="s">
        <v>1652</v>
      </c>
      <c r="H246" s="106" t="s">
        <v>300</v>
      </c>
      <c r="I246" s="106" t="s">
        <v>786</v>
      </c>
      <c r="J246" s="106" t="s">
        <v>792</v>
      </c>
      <c r="K246" s="106" t="s">
        <v>382</v>
      </c>
      <c r="L246" s="106" t="s">
        <v>884</v>
      </c>
      <c r="M246" s="106" t="s">
        <v>388</v>
      </c>
      <c r="N246" s="106" t="s">
        <v>43</v>
      </c>
      <c r="O246" s="106" t="s">
        <v>541</v>
      </c>
      <c r="P246" s="106" t="s">
        <v>866</v>
      </c>
      <c r="Q246" s="106" t="s">
        <v>1653</v>
      </c>
      <c r="R246" s="106" t="s">
        <v>53</v>
      </c>
      <c r="S246" s="83" t="str">
        <f t="shared" si="23"/>
        <v>41722A-VGK</v>
      </c>
      <c r="T246" s="83" t="str">
        <f t="shared" si="24"/>
        <v>Vegas Golden Knights Outfield NHL</v>
      </c>
      <c r="Y246" s="60">
        <f t="shared" si="25"/>
        <v>6</v>
      </c>
      <c r="Z246" s="49">
        <f t="shared" si="26"/>
        <v>218</v>
      </c>
      <c r="AA246" s="60">
        <f t="shared" si="27"/>
        <v>6218</v>
      </c>
    </row>
    <row r="247" spans="1:27">
      <c r="A247" s="83" t="str">
        <f t="shared" si="21"/>
        <v>42050A-JTNPolgd</v>
      </c>
      <c r="B247" s="83" t="str">
        <f t="shared" si="22"/>
        <v>06-219-44</v>
      </c>
      <c r="C247" s="106" t="s">
        <v>1654</v>
      </c>
      <c r="D247" s="106" t="s">
        <v>1655</v>
      </c>
      <c r="E247" s="106" t="s">
        <v>788</v>
      </c>
      <c r="F247" s="107">
        <v>0</v>
      </c>
      <c r="G247" s="106" t="s">
        <v>1656</v>
      </c>
      <c r="H247" s="106" t="s">
        <v>753</v>
      </c>
      <c r="I247" s="106" t="s">
        <v>790</v>
      </c>
      <c r="J247" s="106" t="s">
        <v>342</v>
      </c>
      <c r="K247" s="106" t="s">
        <v>382</v>
      </c>
      <c r="L247" s="106" t="s">
        <v>880</v>
      </c>
      <c r="M247" s="106" t="s">
        <v>389</v>
      </c>
      <c r="O247" s="106" t="s">
        <v>542</v>
      </c>
      <c r="P247" s="106" t="s">
        <v>866</v>
      </c>
      <c r="Q247" s="106" t="s">
        <v>1657</v>
      </c>
      <c r="R247" s="106" t="s">
        <v>195</v>
      </c>
      <c r="S247" s="83" t="str">
        <f t="shared" si="23"/>
        <v>42050A-JTNP</v>
      </c>
      <c r="T247" s="83" t="str">
        <f t="shared" si="24"/>
        <v>Joshua Tree National Park Pillow</v>
      </c>
      <c r="Y247" s="60">
        <f t="shared" si="25"/>
        <v>6</v>
      </c>
      <c r="Z247" s="49">
        <f t="shared" si="26"/>
        <v>219</v>
      </c>
      <c r="AA247" s="60">
        <f t="shared" si="27"/>
        <v>6219</v>
      </c>
    </row>
    <row r="248" spans="1:27">
      <c r="A248" s="83" t="str">
        <f t="shared" si="21"/>
        <v>42652A-NYRroyal-red</v>
      </c>
      <c r="B248" s="83" t="str">
        <f t="shared" si="22"/>
        <v>06-220-21</v>
      </c>
      <c r="C248" s="106" t="s">
        <v>1658</v>
      </c>
      <c r="D248" s="106" t="s">
        <v>1659</v>
      </c>
      <c r="E248" s="106" t="s">
        <v>788</v>
      </c>
      <c r="F248" s="107">
        <v>0</v>
      </c>
      <c r="G248" s="106" t="s">
        <v>1660</v>
      </c>
      <c r="H248" s="106" t="s">
        <v>252</v>
      </c>
      <c r="I248" s="106" t="s">
        <v>888</v>
      </c>
      <c r="J248" s="106" t="s">
        <v>792</v>
      </c>
      <c r="K248" s="106" t="s">
        <v>382</v>
      </c>
      <c r="L248" s="106" t="s">
        <v>884</v>
      </c>
      <c r="M248" s="106" t="s">
        <v>388</v>
      </c>
      <c r="N248" s="106" t="s">
        <v>44</v>
      </c>
      <c r="O248" s="106" t="s">
        <v>541</v>
      </c>
      <c r="P248" s="106" t="s">
        <v>866</v>
      </c>
      <c r="Q248" s="106" t="s">
        <v>1483</v>
      </c>
      <c r="R248" s="106" t="s">
        <v>71</v>
      </c>
      <c r="S248" s="83" t="str">
        <f t="shared" si="23"/>
        <v>42652A-NYR</v>
      </c>
      <c r="T248" s="83" t="str">
        <f t="shared" si="24"/>
        <v>New York Rangers Chipper NHL</v>
      </c>
      <c r="Y248" s="60">
        <f t="shared" si="25"/>
        <v>6</v>
      </c>
      <c r="Z248" s="49">
        <f t="shared" si="26"/>
        <v>220</v>
      </c>
      <c r="AA248" s="60">
        <f t="shared" si="27"/>
        <v>6220</v>
      </c>
    </row>
    <row r="249" spans="1:27">
      <c r="A249" s="83" t="str">
        <f t="shared" si="21"/>
        <v>42692A-CBHred-black</v>
      </c>
      <c r="B249" s="83" t="str">
        <f t="shared" si="22"/>
        <v>06-221-72</v>
      </c>
      <c r="C249" s="106" t="s">
        <v>1661</v>
      </c>
      <c r="D249" s="106" t="s">
        <v>1662</v>
      </c>
      <c r="E249" s="106" t="s">
        <v>788</v>
      </c>
      <c r="F249" s="107">
        <v>0</v>
      </c>
      <c r="G249" s="106" t="s">
        <v>1663</v>
      </c>
      <c r="H249" s="106" t="s">
        <v>186</v>
      </c>
      <c r="I249" s="106" t="s">
        <v>785</v>
      </c>
      <c r="J249" s="106" t="s">
        <v>327</v>
      </c>
      <c r="K249" s="106" t="s">
        <v>382</v>
      </c>
      <c r="L249" s="106" t="s">
        <v>884</v>
      </c>
      <c r="M249" s="106" t="s">
        <v>388</v>
      </c>
      <c r="N249" s="106" t="s">
        <v>44</v>
      </c>
      <c r="O249" s="106" t="s">
        <v>541</v>
      </c>
      <c r="P249" s="106" t="s">
        <v>866</v>
      </c>
      <c r="Q249" s="106" t="s">
        <v>1646</v>
      </c>
      <c r="R249" s="106" t="s">
        <v>78</v>
      </c>
      <c r="S249" s="83" t="str">
        <f t="shared" si="23"/>
        <v>42692A-CBH</v>
      </c>
      <c r="T249" s="83" t="str">
        <f t="shared" si="24"/>
        <v>Chicago Blackhawks Tradition NHL</v>
      </c>
      <c r="Y249" s="60">
        <f t="shared" si="25"/>
        <v>6</v>
      </c>
      <c r="Z249" s="49">
        <f t="shared" si="26"/>
        <v>221</v>
      </c>
      <c r="AA249" s="60">
        <f t="shared" si="27"/>
        <v>6221</v>
      </c>
    </row>
    <row r="250" spans="1:27">
      <c r="A250" s="83" t="str">
        <f t="shared" si="21"/>
        <v>42692A-DRWwtrd</v>
      </c>
      <c r="B250" s="83" t="str">
        <f t="shared" si="22"/>
        <v>06-222-45</v>
      </c>
      <c r="C250" s="106" t="s">
        <v>1664</v>
      </c>
      <c r="D250" s="106" t="s">
        <v>1665</v>
      </c>
      <c r="E250" s="106" t="s">
        <v>788</v>
      </c>
      <c r="F250" s="107">
        <v>0</v>
      </c>
      <c r="G250" s="106" t="s">
        <v>1666</v>
      </c>
      <c r="H250" s="106" t="s">
        <v>683</v>
      </c>
      <c r="I250" s="106" t="s">
        <v>785</v>
      </c>
      <c r="J250" s="106" t="s">
        <v>327</v>
      </c>
      <c r="K250" s="106" t="s">
        <v>382</v>
      </c>
      <c r="L250" s="106" t="s">
        <v>884</v>
      </c>
      <c r="M250" s="106" t="s">
        <v>388</v>
      </c>
      <c r="N250" s="106" t="s">
        <v>44</v>
      </c>
      <c r="O250" s="106" t="s">
        <v>541</v>
      </c>
      <c r="P250" s="106" t="s">
        <v>866</v>
      </c>
      <c r="Q250" s="106" t="s">
        <v>1667</v>
      </c>
      <c r="R250" s="106" t="s">
        <v>63</v>
      </c>
      <c r="S250" s="83" t="str">
        <f t="shared" si="23"/>
        <v>42692A-DRW</v>
      </c>
      <c r="T250" s="83" t="str">
        <f t="shared" si="24"/>
        <v>Detroit Red Wings Tradition NHL</v>
      </c>
      <c r="Y250" s="60">
        <f t="shared" si="25"/>
        <v>6</v>
      </c>
      <c r="Z250" s="49">
        <f t="shared" si="26"/>
        <v>222</v>
      </c>
      <c r="AA250" s="60">
        <f t="shared" si="27"/>
        <v>6222</v>
      </c>
    </row>
    <row r="251" spans="1:27">
      <c r="A251" s="83" t="str">
        <f t="shared" si="21"/>
        <v>42692A-LAKbkgr</v>
      </c>
      <c r="B251" s="83" t="str">
        <f t="shared" si="22"/>
        <v>06-223-10</v>
      </c>
      <c r="C251" s="106" t="s">
        <v>1668</v>
      </c>
      <c r="D251" s="106" t="s">
        <v>1669</v>
      </c>
      <c r="E251" s="106" t="s">
        <v>788</v>
      </c>
      <c r="F251" s="107">
        <v>0</v>
      </c>
      <c r="G251" s="106" t="s">
        <v>1670</v>
      </c>
      <c r="H251" s="106" t="s">
        <v>308</v>
      </c>
      <c r="I251" s="106" t="s">
        <v>785</v>
      </c>
      <c r="J251" s="106" t="s">
        <v>327</v>
      </c>
      <c r="K251" s="106" t="s">
        <v>382</v>
      </c>
      <c r="L251" s="106" t="s">
        <v>884</v>
      </c>
      <c r="M251" s="106" t="s">
        <v>388</v>
      </c>
      <c r="N251" s="106" t="s">
        <v>44</v>
      </c>
      <c r="O251" s="106" t="s">
        <v>541</v>
      </c>
      <c r="P251" s="106" t="s">
        <v>866</v>
      </c>
      <c r="Q251" s="106" t="s">
        <v>1671</v>
      </c>
      <c r="R251" s="106" t="s">
        <v>53</v>
      </c>
      <c r="S251" s="83" t="str">
        <f t="shared" si="23"/>
        <v>42692A-LAK</v>
      </c>
      <c r="T251" s="83" t="str">
        <f t="shared" si="24"/>
        <v>Los Angeles Kings Tradition NHL</v>
      </c>
      <c r="Y251" s="60">
        <f t="shared" si="25"/>
        <v>6</v>
      </c>
      <c r="Z251" s="49">
        <f t="shared" si="26"/>
        <v>223</v>
      </c>
      <c r="AA251" s="60">
        <f t="shared" si="27"/>
        <v>6223</v>
      </c>
    </row>
    <row r="252" spans="1:27">
      <c r="A252" s="83" t="str">
        <f t="shared" si="21"/>
        <v>42692A-NYRindrd</v>
      </c>
      <c r="B252" s="83" t="str">
        <f t="shared" si="22"/>
        <v>06-224-71</v>
      </c>
      <c r="C252" s="106" t="s">
        <v>1672</v>
      </c>
      <c r="D252" s="106" t="s">
        <v>1673</v>
      </c>
      <c r="E252" s="106" t="s">
        <v>788</v>
      </c>
      <c r="F252" s="107">
        <v>0</v>
      </c>
      <c r="G252" s="106" t="s">
        <v>1674</v>
      </c>
      <c r="H252" s="106" t="s">
        <v>593</v>
      </c>
      <c r="I252" s="106" t="s">
        <v>785</v>
      </c>
      <c r="J252" s="106" t="s">
        <v>327</v>
      </c>
      <c r="K252" s="106" t="s">
        <v>382</v>
      </c>
      <c r="L252" s="106" t="s">
        <v>884</v>
      </c>
      <c r="M252" s="106" t="s">
        <v>388</v>
      </c>
      <c r="N252" s="106" t="s">
        <v>44</v>
      </c>
      <c r="O252" s="106" t="s">
        <v>541</v>
      </c>
      <c r="P252" s="106" t="s">
        <v>866</v>
      </c>
      <c r="Q252" s="106" t="s">
        <v>1675</v>
      </c>
      <c r="R252" s="106" t="s">
        <v>71</v>
      </c>
      <c r="S252" s="83" t="str">
        <f t="shared" si="23"/>
        <v>42692A-NYR</v>
      </c>
      <c r="T252" s="83" t="str">
        <f t="shared" si="24"/>
        <v>New York Rangers Tradition NHL</v>
      </c>
      <c r="Y252" s="60">
        <f t="shared" si="25"/>
        <v>6</v>
      </c>
      <c r="Z252" s="49">
        <f t="shared" si="26"/>
        <v>224</v>
      </c>
      <c r="AA252" s="60">
        <f t="shared" si="27"/>
        <v>6224</v>
      </c>
    </row>
    <row r="253" spans="1:27">
      <c r="A253" s="83" t="str">
        <f t="shared" si="21"/>
        <v>42792A-DRWred-black</v>
      </c>
      <c r="B253" s="83" t="str">
        <f t="shared" si="22"/>
        <v>06-225-18</v>
      </c>
      <c r="C253" s="106" t="s">
        <v>1676</v>
      </c>
      <c r="D253" s="106" t="s">
        <v>1677</v>
      </c>
      <c r="E253" s="106" t="s">
        <v>788</v>
      </c>
      <c r="F253" s="107">
        <v>0</v>
      </c>
      <c r="G253" s="106" t="s">
        <v>1678</v>
      </c>
      <c r="H253" s="106" t="s">
        <v>179</v>
      </c>
      <c r="I253" s="106" t="s">
        <v>790</v>
      </c>
      <c r="J253" s="106" t="s">
        <v>342</v>
      </c>
      <c r="K253" s="106" t="s">
        <v>382</v>
      </c>
      <c r="L253" s="106" t="s">
        <v>884</v>
      </c>
      <c r="M253" s="106" t="s">
        <v>389</v>
      </c>
      <c r="O253" s="106" t="s">
        <v>542</v>
      </c>
      <c r="P253" s="106" t="s">
        <v>866</v>
      </c>
      <c r="Q253" s="106" t="s">
        <v>1646</v>
      </c>
      <c r="R253" s="106" t="s">
        <v>78</v>
      </c>
      <c r="S253" s="83" t="str">
        <f t="shared" si="23"/>
        <v>42792A-DRW</v>
      </c>
      <c r="T253" s="83" t="str">
        <f t="shared" si="24"/>
        <v>Detroit Red Wings Breezy NHL</v>
      </c>
      <c r="Y253" s="60">
        <f t="shared" si="25"/>
        <v>6</v>
      </c>
      <c r="Z253" s="49">
        <f t="shared" si="26"/>
        <v>225</v>
      </c>
      <c r="AA253" s="60">
        <f t="shared" si="27"/>
        <v>6225</v>
      </c>
    </row>
    <row r="254" spans="1:27">
      <c r="A254" s="83" t="str">
        <f t="shared" si="21"/>
        <v>42802A-DRWred-black</v>
      </c>
      <c r="B254" s="83" t="str">
        <f t="shared" si="22"/>
        <v>06-226-72</v>
      </c>
      <c r="C254" s="106" t="s">
        <v>1679</v>
      </c>
      <c r="D254" s="106" t="s">
        <v>1680</v>
      </c>
      <c r="E254" s="106" t="s">
        <v>788</v>
      </c>
      <c r="F254" s="107">
        <v>0</v>
      </c>
      <c r="G254" s="106" t="s">
        <v>1681</v>
      </c>
      <c r="H254" s="106" t="s">
        <v>186</v>
      </c>
      <c r="I254" s="106" t="s">
        <v>790</v>
      </c>
      <c r="J254" s="106" t="s">
        <v>342</v>
      </c>
      <c r="K254" s="106" t="s">
        <v>382</v>
      </c>
      <c r="L254" s="106" t="s">
        <v>884</v>
      </c>
      <c r="M254" s="106" t="s">
        <v>389</v>
      </c>
      <c r="O254" s="106" t="s">
        <v>542</v>
      </c>
      <c r="P254" s="106" t="s">
        <v>866</v>
      </c>
      <c r="Q254" s="106" t="s">
        <v>1646</v>
      </c>
      <c r="R254" s="106" t="s">
        <v>78</v>
      </c>
      <c r="S254" s="83" t="str">
        <f t="shared" si="23"/>
        <v>42802A-DRW</v>
      </c>
      <c r="T254" s="83" t="str">
        <f t="shared" si="24"/>
        <v>Detroit Red Wings Gusto NHL</v>
      </c>
      <c r="Y254" s="60">
        <f t="shared" si="25"/>
        <v>6</v>
      </c>
      <c r="Z254" s="49">
        <f t="shared" si="26"/>
        <v>226</v>
      </c>
      <c r="AA254" s="60">
        <f t="shared" si="27"/>
        <v>6226</v>
      </c>
    </row>
    <row r="255" spans="1:27">
      <c r="A255" s="83" t="str">
        <f t="shared" si="21"/>
        <v>42810A-NASAnavy-red</v>
      </c>
      <c r="B255" s="83" t="str">
        <f t="shared" si="22"/>
        <v>06-227-71</v>
      </c>
      <c r="C255" s="106" t="s">
        <v>1682</v>
      </c>
      <c r="D255" s="106" t="s">
        <v>1683</v>
      </c>
      <c r="E255" s="106" t="s">
        <v>788</v>
      </c>
      <c r="F255" s="107">
        <v>0</v>
      </c>
      <c r="G255" s="106" t="s">
        <v>1684</v>
      </c>
      <c r="H255" s="106" t="s">
        <v>593</v>
      </c>
      <c r="I255" s="106" t="s">
        <v>790</v>
      </c>
      <c r="J255" s="106" t="s">
        <v>342</v>
      </c>
      <c r="K255" s="106" t="s">
        <v>382</v>
      </c>
      <c r="L255" s="106" t="s">
        <v>873</v>
      </c>
      <c r="M255" s="106" t="s">
        <v>389</v>
      </c>
      <c r="O255" s="106" t="s">
        <v>542</v>
      </c>
      <c r="P255" s="106" t="s">
        <v>866</v>
      </c>
      <c r="Q255" s="106" t="s">
        <v>1435</v>
      </c>
      <c r="R255" s="106" t="s">
        <v>71</v>
      </c>
      <c r="S255" s="83" t="str">
        <f t="shared" si="23"/>
        <v>42810A-NASA</v>
      </c>
      <c r="T255" s="83" t="str">
        <f t="shared" si="24"/>
        <v>Space with NASA Pillow</v>
      </c>
      <c r="Y255" s="60">
        <f t="shared" si="25"/>
        <v>6</v>
      </c>
      <c r="Z255" s="49">
        <f t="shared" si="26"/>
        <v>227</v>
      </c>
      <c r="AA255" s="60">
        <f t="shared" si="27"/>
        <v>6227</v>
      </c>
    </row>
    <row r="256" spans="1:27">
      <c r="A256" s="83" t="str">
        <f t="shared" si="21"/>
        <v>42812A-SEKnvbl</v>
      </c>
      <c r="B256" s="83" t="str">
        <f t="shared" si="22"/>
        <v>06-228-70</v>
      </c>
      <c r="C256" s="106" t="s">
        <v>1685</v>
      </c>
      <c r="D256" s="106" t="s">
        <v>1686</v>
      </c>
      <c r="E256" s="106" t="s">
        <v>788</v>
      </c>
      <c r="F256" s="107">
        <v>0</v>
      </c>
      <c r="G256" s="106" t="s">
        <v>1687</v>
      </c>
      <c r="H256" s="106" t="s">
        <v>700</v>
      </c>
      <c r="I256" s="106" t="s">
        <v>790</v>
      </c>
      <c r="J256" s="106" t="s">
        <v>342</v>
      </c>
      <c r="K256" s="106" t="s">
        <v>382</v>
      </c>
      <c r="L256" s="106" t="s">
        <v>884</v>
      </c>
      <c r="M256" s="106" t="s">
        <v>389</v>
      </c>
      <c r="O256" s="106" t="s">
        <v>542</v>
      </c>
      <c r="P256" s="106" t="s">
        <v>866</v>
      </c>
      <c r="Q256" s="106" t="s">
        <v>1688</v>
      </c>
      <c r="R256" s="106" t="s">
        <v>71</v>
      </c>
      <c r="S256" s="83" t="str">
        <f t="shared" si="23"/>
        <v>42812A-SEK</v>
      </c>
      <c r="T256" s="83" t="str">
        <f t="shared" si="24"/>
        <v>Seattle Kraken Pillow NHL</v>
      </c>
      <c r="Y256" s="60">
        <f t="shared" si="25"/>
        <v>6</v>
      </c>
      <c r="Z256" s="49">
        <f t="shared" si="26"/>
        <v>228</v>
      </c>
      <c r="AA256" s="60">
        <f t="shared" si="27"/>
        <v>6228</v>
      </c>
    </row>
    <row r="257" spans="1:27">
      <c r="A257" s="83" t="str">
        <f t="shared" si="21"/>
        <v>42822A-CBHblack</v>
      </c>
      <c r="B257" s="83" t="str">
        <f t="shared" si="22"/>
        <v>06-229-09</v>
      </c>
      <c r="C257" s="106" t="s">
        <v>1689</v>
      </c>
      <c r="D257" s="106" t="s">
        <v>1690</v>
      </c>
      <c r="E257" s="106" t="s">
        <v>788</v>
      </c>
      <c r="F257" s="107">
        <v>0</v>
      </c>
      <c r="G257" s="106" t="s">
        <v>1691</v>
      </c>
      <c r="H257" s="106" t="s">
        <v>53</v>
      </c>
      <c r="I257" s="106" t="s">
        <v>790</v>
      </c>
      <c r="J257" s="106" t="s">
        <v>340</v>
      </c>
      <c r="K257" s="106" t="s">
        <v>382</v>
      </c>
      <c r="L257" s="106" t="s">
        <v>884</v>
      </c>
      <c r="M257" s="106" t="s">
        <v>389</v>
      </c>
      <c r="O257" s="106" t="s">
        <v>542</v>
      </c>
      <c r="P257" s="106" t="s">
        <v>866</v>
      </c>
      <c r="Q257" s="106" t="s">
        <v>819</v>
      </c>
      <c r="R257" s="106" t="s">
        <v>53</v>
      </c>
      <c r="S257" s="83" t="str">
        <f t="shared" si="23"/>
        <v>42822A-CBH</v>
      </c>
      <c r="T257" s="83" t="str">
        <f t="shared" si="24"/>
        <v>Chicago Blackhawks Cuffless</v>
      </c>
      <c r="Y257" s="60">
        <f t="shared" si="25"/>
        <v>6</v>
      </c>
      <c r="Z257" s="49">
        <f t="shared" si="26"/>
        <v>229</v>
      </c>
      <c r="AA257" s="60">
        <f t="shared" si="27"/>
        <v>6229</v>
      </c>
    </row>
    <row r="258" spans="1:27">
      <c r="A258" s="83" t="str">
        <f t="shared" si="21"/>
        <v>42822A-NYIroyal</v>
      </c>
      <c r="B258" s="83" t="str">
        <f t="shared" si="22"/>
        <v>06-230-06</v>
      </c>
      <c r="C258" s="106" t="s">
        <v>1692</v>
      </c>
      <c r="D258" s="106" t="s">
        <v>1693</v>
      </c>
      <c r="E258" s="106" t="s">
        <v>788</v>
      </c>
      <c r="F258" s="107">
        <v>0</v>
      </c>
      <c r="G258" s="106" t="s">
        <v>1694</v>
      </c>
      <c r="H258" s="106" t="s">
        <v>71</v>
      </c>
      <c r="I258" s="106" t="s">
        <v>790</v>
      </c>
      <c r="J258" s="106" t="s">
        <v>340</v>
      </c>
      <c r="K258" s="106" t="s">
        <v>382</v>
      </c>
      <c r="L258" s="106" t="s">
        <v>884</v>
      </c>
      <c r="M258" s="106" t="s">
        <v>389</v>
      </c>
      <c r="O258" s="106" t="s">
        <v>542</v>
      </c>
      <c r="P258" s="106" t="s">
        <v>866</v>
      </c>
      <c r="Q258" s="106" t="s">
        <v>1576</v>
      </c>
      <c r="R258" s="106" t="s">
        <v>71</v>
      </c>
      <c r="S258" s="83" t="str">
        <f t="shared" si="23"/>
        <v>42822A-NYI</v>
      </c>
      <c r="T258" s="83" t="str">
        <f t="shared" si="24"/>
        <v>New York Islanders Cuffless</v>
      </c>
      <c r="Y258" s="60">
        <f t="shared" si="25"/>
        <v>6</v>
      </c>
      <c r="Z258" s="49">
        <f t="shared" si="26"/>
        <v>230</v>
      </c>
      <c r="AA258" s="60">
        <f t="shared" si="27"/>
        <v>6230</v>
      </c>
    </row>
    <row r="259" spans="1:27">
      <c r="A259" s="83" t="str">
        <f t="shared" ref="A259:A322" si="28">IF(G259&amp;Q259&lt;&gt;"",S259&amp;Q259,"")</f>
        <v>42832A-NYRnavy</v>
      </c>
      <c r="B259" s="83" t="str">
        <f t="shared" ref="B259:B322" si="29">IF(C259&lt;&gt;"",LEFT(C259,9),"")</f>
        <v>06-231-16</v>
      </c>
      <c r="C259" s="106" t="s">
        <v>1695</v>
      </c>
      <c r="D259" s="106" t="s">
        <v>1696</v>
      </c>
      <c r="E259" s="106" t="s">
        <v>788</v>
      </c>
      <c r="F259" s="107">
        <v>0</v>
      </c>
      <c r="G259" s="106" t="s">
        <v>1697</v>
      </c>
      <c r="H259" s="106" t="s">
        <v>55</v>
      </c>
      <c r="I259" s="106" t="s">
        <v>786</v>
      </c>
      <c r="J259" s="106" t="s">
        <v>792</v>
      </c>
      <c r="K259" s="106" t="s">
        <v>382</v>
      </c>
      <c r="L259" s="106" t="s">
        <v>884</v>
      </c>
      <c r="M259" s="106" t="s">
        <v>388</v>
      </c>
      <c r="N259" s="106" t="s">
        <v>43</v>
      </c>
      <c r="O259" s="106" t="s">
        <v>541</v>
      </c>
      <c r="P259" s="106" t="s">
        <v>866</v>
      </c>
      <c r="Q259" s="106" t="s">
        <v>818</v>
      </c>
      <c r="R259" s="106" t="s">
        <v>71</v>
      </c>
      <c r="S259" s="83" t="str">
        <f t="shared" ref="S259:S322" si="30">IF(G259&lt;&gt;"",IF(StyleSpaceSplit,IFERROR(IF(FIND(" ",G259)&gt;=1,MID(G259,1,FIND(" ",G259)-1),G259),G259),G259),"")</f>
        <v>42832A-NYR</v>
      </c>
      <c r="T259" s="83" t="str">
        <f t="shared" ref="T259:T322" si="31">IF(A259&lt;&gt;"",IFERROR(IF(FIND(" ",G259)&gt;=1,MID(G259,FIND(" ",G259)+1,LEN(G259)),""),G259),"")</f>
        <v>New York Rangers Fleck NHL</v>
      </c>
      <c r="Y259" s="60">
        <f t="shared" ref="Y259:Y322" si="32">IFERROR(VALUE(MID($C259,1,2)),0)</f>
        <v>6</v>
      </c>
      <c r="Z259" s="49">
        <f t="shared" ref="Z259:Z322" si="33">IFERROR(VALUE(MID($C259,4,3)),0)</f>
        <v>231</v>
      </c>
      <c r="AA259" s="60">
        <f t="shared" ref="AA259:AA322" si="34">VALUE(RIGHT("00"&amp;Y259,2)&amp;RIGHT("000"&amp;Z259,3))</f>
        <v>6231</v>
      </c>
    </row>
    <row r="260" spans="1:27">
      <c r="A260" s="83" t="str">
        <f t="shared" si="28"/>
        <v>42862A-DRWred</v>
      </c>
      <c r="B260" s="83" t="str">
        <f t="shared" si="29"/>
        <v>06-232-18</v>
      </c>
      <c r="C260" s="106" t="s">
        <v>1698</v>
      </c>
      <c r="D260" s="106" t="s">
        <v>1699</v>
      </c>
      <c r="E260" s="106" t="s">
        <v>788</v>
      </c>
      <c r="F260" s="107">
        <v>0</v>
      </c>
      <c r="G260" s="106" t="s">
        <v>1700</v>
      </c>
      <c r="H260" s="106" t="s">
        <v>78</v>
      </c>
      <c r="I260" s="106" t="s">
        <v>786</v>
      </c>
      <c r="J260" s="106" t="s">
        <v>327</v>
      </c>
      <c r="K260" s="106" t="s">
        <v>382</v>
      </c>
      <c r="L260" s="106" t="s">
        <v>884</v>
      </c>
      <c r="M260" s="106" t="s">
        <v>388</v>
      </c>
      <c r="N260" s="106" t="s">
        <v>43</v>
      </c>
      <c r="O260" s="106" t="s">
        <v>541</v>
      </c>
      <c r="P260" s="106" t="s">
        <v>866</v>
      </c>
      <c r="Q260" s="106" t="s">
        <v>822</v>
      </c>
      <c r="R260" s="106" t="s">
        <v>78</v>
      </c>
      <c r="S260" s="83" t="str">
        <f t="shared" si="30"/>
        <v>42862A-DRW</v>
      </c>
      <c r="T260" s="83" t="str">
        <f t="shared" si="31"/>
        <v>Detroit Red Wings Conway NHL</v>
      </c>
      <c r="Y260" s="60">
        <f t="shared" si="32"/>
        <v>6</v>
      </c>
      <c r="Z260" s="49">
        <f t="shared" si="33"/>
        <v>232</v>
      </c>
      <c r="AA260" s="60">
        <f t="shared" si="34"/>
        <v>6232</v>
      </c>
    </row>
    <row r="261" spans="1:27">
      <c r="A261" s="83" t="str">
        <f t="shared" si="28"/>
        <v>42862A-NYRroyal</v>
      </c>
      <c r="B261" s="83" t="str">
        <f t="shared" si="29"/>
        <v>06-233-06</v>
      </c>
      <c r="C261" s="106" t="s">
        <v>1701</v>
      </c>
      <c r="D261" s="106" t="s">
        <v>1702</v>
      </c>
      <c r="E261" s="106" t="s">
        <v>788</v>
      </c>
      <c r="F261" s="107">
        <v>0</v>
      </c>
      <c r="G261" s="106" t="s">
        <v>1703</v>
      </c>
      <c r="H261" s="106" t="s">
        <v>71</v>
      </c>
      <c r="I261" s="106" t="s">
        <v>786</v>
      </c>
      <c r="J261" s="106" t="s">
        <v>327</v>
      </c>
      <c r="K261" s="106" t="s">
        <v>382</v>
      </c>
      <c r="L261" s="106" t="s">
        <v>884</v>
      </c>
      <c r="M261" s="106" t="s">
        <v>388</v>
      </c>
      <c r="N261" s="106" t="s">
        <v>43</v>
      </c>
      <c r="O261" s="106" t="s">
        <v>541</v>
      </c>
      <c r="P261" s="106" t="s">
        <v>866</v>
      </c>
      <c r="Q261" s="106" t="s">
        <v>1576</v>
      </c>
      <c r="R261" s="106" t="s">
        <v>71</v>
      </c>
      <c r="S261" s="83" t="str">
        <f t="shared" si="30"/>
        <v>42862A-NYR</v>
      </c>
      <c r="T261" s="83" t="str">
        <f t="shared" si="31"/>
        <v>New York Rangers Conway NHL</v>
      </c>
      <c r="Y261" s="60">
        <f t="shared" si="32"/>
        <v>6</v>
      </c>
      <c r="Z261" s="49">
        <f t="shared" si="33"/>
        <v>233</v>
      </c>
      <c r="AA261" s="60">
        <f t="shared" si="34"/>
        <v>6233</v>
      </c>
    </row>
    <row r="262" spans="1:27">
      <c r="A262" s="83" t="str">
        <f t="shared" si="28"/>
        <v>42932A-LAKivory-blk</v>
      </c>
      <c r="B262" s="83" t="str">
        <f t="shared" si="29"/>
        <v>06-234-48</v>
      </c>
      <c r="C262" s="106" t="s">
        <v>1704</v>
      </c>
      <c r="D262" s="106" t="s">
        <v>1705</v>
      </c>
      <c r="E262" s="106" t="s">
        <v>788</v>
      </c>
      <c r="F262" s="107">
        <v>0</v>
      </c>
      <c r="G262" s="106" t="s">
        <v>1706</v>
      </c>
      <c r="H262" s="106" t="s">
        <v>119</v>
      </c>
      <c r="I262" s="106" t="s">
        <v>888</v>
      </c>
      <c r="J262" s="106" t="s">
        <v>792</v>
      </c>
      <c r="K262" s="106" t="s">
        <v>382</v>
      </c>
      <c r="L262" s="106" t="s">
        <v>884</v>
      </c>
      <c r="M262" s="106" t="s">
        <v>388</v>
      </c>
      <c r="N262" s="106" t="s">
        <v>44</v>
      </c>
      <c r="O262" s="106" t="s">
        <v>541</v>
      </c>
      <c r="P262" s="106" t="s">
        <v>866</v>
      </c>
      <c r="Q262" s="106" t="s">
        <v>1707</v>
      </c>
      <c r="R262" s="106" t="s">
        <v>57</v>
      </c>
      <c r="S262" s="83" t="str">
        <f t="shared" si="30"/>
        <v>42932A-LAK</v>
      </c>
      <c r="T262" s="83" t="str">
        <f t="shared" si="31"/>
        <v>Los Angeles Kings United NHL</v>
      </c>
      <c r="Y262" s="60">
        <f t="shared" si="32"/>
        <v>6</v>
      </c>
      <c r="Z262" s="49">
        <f t="shared" si="33"/>
        <v>234</v>
      </c>
      <c r="AA262" s="60">
        <f t="shared" si="34"/>
        <v>6234</v>
      </c>
    </row>
    <row r="263" spans="1:27">
      <c r="A263" s="83" t="str">
        <f t="shared" si="28"/>
        <v>42932A-NYRivory-royal</v>
      </c>
      <c r="B263" s="83" t="str">
        <f t="shared" si="29"/>
        <v>06-235-38</v>
      </c>
      <c r="C263" s="106" t="s">
        <v>1708</v>
      </c>
      <c r="D263" s="106" t="s">
        <v>1709</v>
      </c>
      <c r="E263" s="106" t="s">
        <v>788</v>
      </c>
      <c r="F263" s="107">
        <v>0</v>
      </c>
      <c r="G263" s="106" t="s">
        <v>1710</v>
      </c>
      <c r="H263" s="106" t="s">
        <v>116</v>
      </c>
      <c r="I263" s="106" t="s">
        <v>888</v>
      </c>
      <c r="J263" s="106" t="s">
        <v>792</v>
      </c>
      <c r="K263" s="106" t="s">
        <v>382</v>
      </c>
      <c r="L263" s="106" t="s">
        <v>884</v>
      </c>
      <c r="M263" s="106" t="s">
        <v>388</v>
      </c>
      <c r="N263" s="106" t="s">
        <v>44</v>
      </c>
      <c r="O263" s="106" t="s">
        <v>541</v>
      </c>
      <c r="P263" s="106" t="s">
        <v>866</v>
      </c>
      <c r="Q263" s="106" t="s">
        <v>1711</v>
      </c>
      <c r="R263" s="106" t="s">
        <v>57</v>
      </c>
      <c r="S263" s="83" t="str">
        <f t="shared" si="30"/>
        <v>42932A-NYR</v>
      </c>
      <c r="T263" s="83" t="str">
        <f t="shared" si="31"/>
        <v>New York Rangers United NHL</v>
      </c>
      <c r="Y263" s="60">
        <f t="shared" si="32"/>
        <v>6</v>
      </c>
      <c r="Z263" s="49">
        <f t="shared" si="33"/>
        <v>235</v>
      </c>
      <c r="AA263" s="60">
        <f t="shared" si="34"/>
        <v>6235</v>
      </c>
    </row>
    <row r="264" spans="1:27">
      <c r="A264" s="83" t="str">
        <f t="shared" si="28"/>
        <v>42932A-PPNivory-blk</v>
      </c>
      <c r="B264" s="83" t="str">
        <f t="shared" si="29"/>
        <v>06-236-48</v>
      </c>
      <c r="C264" s="106" t="s">
        <v>1712</v>
      </c>
      <c r="D264" s="106" t="s">
        <v>1713</v>
      </c>
      <c r="E264" s="106" t="s">
        <v>788</v>
      </c>
      <c r="F264" s="107">
        <v>0</v>
      </c>
      <c r="G264" s="106" t="s">
        <v>1714</v>
      </c>
      <c r="H264" s="106" t="s">
        <v>119</v>
      </c>
      <c r="I264" s="106" t="s">
        <v>888</v>
      </c>
      <c r="J264" s="106" t="s">
        <v>792</v>
      </c>
      <c r="K264" s="106" t="s">
        <v>382</v>
      </c>
      <c r="L264" s="106" t="s">
        <v>884</v>
      </c>
      <c r="M264" s="106" t="s">
        <v>388</v>
      </c>
      <c r="N264" s="106" t="s">
        <v>44</v>
      </c>
      <c r="O264" s="106" t="s">
        <v>541</v>
      </c>
      <c r="P264" s="106" t="s">
        <v>866</v>
      </c>
      <c r="Q264" s="106" t="s">
        <v>1707</v>
      </c>
      <c r="R264" s="106" t="s">
        <v>57</v>
      </c>
      <c r="S264" s="83" t="str">
        <f t="shared" si="30"/>
        <v>42932A-PPN</v>
      </c>
      <c r="T264" s="83" t="str">
        <f t="shared" si="31"/>
        <v>Pittsburgh Penguins United NHL</v>
      </c>
      <c r="Y264" s="60">
        <f t="shared" si="32"/>
        <v>6</v>
      </c>
      <c r="Z264" s="49">
        <f t="shared" si="33"/>
        <v>236</v>
      </c>
      <c r="AA264" s="60">
        <f t="shared" si="34"/>
        <v>6236</v>
      </c>
    </row>
    <row r="265" spans="1:27">
      <c r="A265" s="83" t="str">
        <f t="shared" si="28"/>
        <v>42992A-CBHgrey-black</v>
      </c>
      <c r="B265" s="83" t="str">
        <f t="shared" si="29"/>
        <v>06-237-10</v>
      </c>
      <c r="C265" s="106" t="s">
        <v>1715</v>
      </c>
      <c r="D265" s="106" t="s">
        <v>1716</v>
      </c>
      <c r="E265" s="106" t="s">
        <v>788</v>
      </c>
      <c r="F265" s="107">
        <v>0</v>
      </c>
      <c r="G265" s="106" t="s">
        <v>1717</v>
      </c>
      <c r="H265" s="106" t="s">
        <v>246</v>
      </c>
      <c r="I265" s="106" t="s">
        <v>1718</v>
      </c>
      <c r="J265" s="106" t="s">
        <v>792</v>
      </c>
      <c r="K265" s="106" t="s">
        <v>382</v>
      </c>
      <c r="L265" s="106" t="s">
        <v>884</v>
      </c>
      <c r="M265" s="106" t="s">
        <v>388</v>
      </c>
      <c r="O265" s="106" t="s">
        <v>541</v>
      </c>
      <c r="P265" s="106" t="s">
        <v>866</v>
      </c>
      <c r="Q265" s="106" t="s">
        <v>1719</v>
      </c>
      <c r="R265" s="106" t="s">
        <v>83</v>
      </c>
      <c r="S265" s="83" t="str">
        <f t="shared" si="30"/>
        <v>42992A-CBH</v>
      </c>
      <c r="T265" s="83" t="str">
        <f t="shared" si="31"/>
        <v>Chicago Blackhawks Stanton NHL</v>
      </c>
      <c r="Y265" s="60">
        <f t="shared" si="32"/>
        <v>6</v>
      </c>
      <c r="Z265" s="49">
        <f t="shared" si="33"/>
        <v>237</v>
      </c>
      <c r="AA265" s="60">
        <f t="shared" si="34"/>
        <v>6237</v>
      </c>
    </row>
    <row r="266" spans="1:27">
      <c r="A266" s="83" t="str">
        <f t="shared" si="28"/>
        <v>42992A-DRWgrey-red</v>
      </c>
      <c r="B266" s="83" t="str">
        <f t="shared" si="29"/>
        <v>06-238-75</v>
      </c>
      <c r="C266" s="106" t="s">
        <v>1720</v>
      </c>
      <c r="D266" s="106" t="s">
        <v>1721</v>
      </c>
      <c r="E266" s="106" t="s">
        <v>788</v>
      </c>
      <c r="F266" s="107">
        <v>0</v>
      </c>
      <c r="G266" s="106" t="s">
        <v>1722</v>
      </c>
      <c r="H266" s="106" t="s">
        <v>241</v>
      </c>
      <c r="I266" s="106" t="s">
        <v>1718</v>
      </c>
      <c r="J266" s="106" t="s">
        <v>792</v>
      </c>
      <c r="K266" s="106" t="s">
        <v>382</v>
      </c>
      <c r="L266" s="106" t="s">
        <v>884</v>
      </c>
      <c r="M266" s="106" t="s">
        <v>388</v>
      </c>
      <c r="O266" s="106" t="s">
        <v>541</v>
      </c>
      <c r="P266" s="106" t="s">
        <v>866</v>
      </c>
      <c r="Q266" s="106" t="s">
        <v>1723</v>
      </c>
      <c r="R266" s="106" t="s">
        <v>83</v>
      </c>
      <c r="S266" s="83" t="str">
        <f t="shared" si="30"/>
        <v>42992A-DRW</v>
      </c>
      <c r="T266" s="83" t="str">
        <f t="shared" si="31"/>
        <v>Detroit Red Wings Stanton NHL</v>
      </c>
      <c r="Y266" s="60">
        <f t="shared" si="32"/>
        <v>6</v>
      </c>
      <c r="Z266" s="49">
        <f t="shared" si="33"/>
        <v>238</v>
      </c>
      <c r="AA266" s="60">
        <f t="shared" si="34"/>
        <v>6238</v>
      </c>
    </row>
    <row r="267" spans="1:27">
      <c r="A267" s="83" t="str">
        <f t="shared" si="28"/>
        <v>42992A-NYRgrey-royal</v>
      </c>
      <c r="B267" s="83" t="str">
        <f t="shared" si="29"/>
        <v>06-239-26</v>
      </c>
      <c r="C267" s="106" t="s">
        <v>1724</v>
      </c>
      <c r="D267" s="106" t="s">
        <v>1725</v>
      </c>
      <c r="E267" s="106" t="s">
        <v>788</v>
      </c>
      <c r="F267" s="107">
        <v>0</v>
      </c>
      <c r="G267" s="106" t="s">
        <v>1726</v>
      </c>
      <c r="H267" s="106" t="s">
        <v>245</v>
      </c>
      <c r="I267" s="106" t="s">
        <v>1718</v>
      </c>
      <c r="J267" s="106" t="s">
        <v>792</v>
      </c>
      <c r="K267" s="106" t="s">
        <v>382</v>
      </c>
      <c r="L267" s="106" t="s">
        <v>884</v>
      </c>
      <c r="M267" s="106" t="s">
        <v>388</v>
      </c>
      <c r="O267" s="106" t="s">
        <v>541</v>
      </c>
      <c r="P267" s="106" t="s">
        <v>866</v>
      </c>
      <c r="Q267" s="106" t="s">
        <v>1727</v>
      </c>
      <c r="R267" s="106" t="s">
        <v>83</v>
      </c>
      <c r="S267" s="83" t="str">
        <f t="shared" si="30"/>
        <v>42992A-NYR</v>
      </c>
      <c r="T267" s="83" t="str">
        <f t="shared" si="31"/>
        <v>New York Rangers Stanton NHL</v>
      </c>
      <c r="Y267" s="60">
        <f t="shared" si="32"/>
        <v>6</v>
      </c>
      <c r="Z267" s="49">
        <f t="shared" si="33"/>
        <v>239</v>
      </c>
      <c r="AA267" s="60">
        <f t="shared" si="34"/>
        <v>6239</v>
      </c>
    </row>
    <row r="268" spans="1:27">
      <c r="A268" s="83" t="str">
        <f t="shared" si="28"/>
        <v>43020A-CAbrick red</v>
      </c>
      <c r="B268" s="83" t="str">
        <f t="shared" si="29"/>
        <v>06-240-13</v>
      </c>
      <c r="C268" s="106" t="s">
        <v>1728</v>
      </c>
      <c r="D268" s="106" t="s">
        <v>1729</v>
      </c>
      <c r="E268" s="106" t="s">
        <v>788</v>
      </c>
      <c r="F268" s="107">
        <v>0</v>
      </c>
      <c r="G268" s="106" t="s">
        <v>1730</v>
      </c>
      <c r="H268" s="106" t="s">
        <v>160</v>
      </c>
      <c r="I268" s="106" t="s">
        <v>786</v>
      </c>
      <c r="J268" s="106" t="s">
        <v>327</v>
      </c>
      <c r="K268" s="106" t="s">
        <v>382</v>
      </c>
      <c r="L268" s="106" t="s">
        <v>880</v>
      </c>
      <c r="M268" s="106" t="s">
        <v>388</v>
      </c>
      <c r="N268" s="106" t="s">
        <v>43</v>
      </c>
      <c r="O268" s="106" t="s">
        <v>541</v>
      </c>
      <c r="P268" s="106" t="s">
        <v>866</v>
      </c>
      <c r="Q268" s="106" t="s">
        <v>1731</v>
      </c>
      <c r="R268" s="106" t="s">
        <v>86</v>
      </c>
      <c r="S268" s="83" t="str">
        <f t="shared" si="30"/>
        <v>43020A-CA</v>
      </c>
      <c r="T268" s="83" t="str">
        <f t="shared" si="31"/>
        <v>California Ballpark</v>
      </c>
      <c r="Y268" s="60">
        <f t="shared" si="32"/>
        <v>6</v>
      </c>
      <c r="Z268" s="49">
        <f t="shared" si="33"/>
        <v>240</v>
      </c>
      <c r="AA268" s="60">
        <f t="shared" si="34"/>
        <v>6240</v>
      </c>
    </row>
    <row r="269" spans="1:27">
      <c r="A269" s="83" t="str">
        <f t="shared" si="28"/>
        <v>43020A-MALIred</v>
      </c>
      <c r="B269" s="83" t="str">
        <f t="shared" si="29"/>
        <v>06-241-18</v>
      </c>
      <c r="C269" s="106" t="s">
        <v>1732</v>
      </c>
      <c r="D269" s="106" t="s">
        <v>1733</v>
      </c>
      <c r="E269" s="106" t="s">
        <v>788</v>
      </c>
      <c r="F269" s="107">
        <v>0</v>
      </c>
      <c r="G269" s="106" t="s">
        <v>1734</v>
      </c>
      <c r="H269" s="106" t="s">
        <v>78</v>
      </c>
      <c r="I269" s="106" t="s">
        <v>786</v>
      </c>
      <c r="J269" s="106" t="s">
        <v>327</v>
      </c>
      <c r="K269" s="106" t="s">
        <v>382</v>
      </c>
      <c r="L269" s="106" t="s">
        <v>880</v>
      </c>
      <c r="M269" s="106" t="s">
        <v>388</v>
      </c>
      <c r="N269" s="106" t="s">
        <v>43</v>
      </c>
      <c r="O269" s="106" t="s">
        <v>541</v>
      </c>
      <c r="P269" s="106" t="s">
        <v>866</v>
      </c>
      <c r="Q269" s="106" t="s">
        <v>822</v>
      </c>
      <c r="R269" s="106" t="s">
        <v>78</v>
      </c>
      <c r="S269" s="83" t="str">
        <f t="shared" si="30"/>
        <v>43020A-MALI</v>
      </c>
      <c r="T269" s="83" t="str">
        <f t="shared" si="31"/>
        <v>Malibu Ballpark</v>
      </c>
      <c r="Y269" s="60">
        <f t="shared" si="32"/>
        <v>6</v>
      </c>
      <c r="Z269" s="49">
        <f t="shared" si="33"/>
        <v>241</v>
      </c>
      <c r="AA269" s="60">
        <f t="shared" si="34"/>
        <v>6241</v>
      </c>
    </row>
    <row r="270" spans="1:27">
      <c r="A270" s="83" t="str">
        <f t="shared" si="28"/>
        <v>43020A-WINDmint</v>
      </c>
      <c r="B270" s="83" t="str">
        <f t="shared" si="29"/>
        <v>06-242-11</v>
      </c>
      <c r="C270" s="106" t="s">
        <v>1735</v>
      </c>
      <c r="D270" s="106" t="s">
        <v>1736</v>
      </c>
      <c r="E270" s="106" t="s">
        <v>788</v>
      </c>
      <c r="F270" s="107">
        <v>0</v>
      </c>
      <c r="G270" s="106" t="s">
        <v>1737</v>
      </c>
      <c r="H270" s="106" t="s">
        <v>60</v>
      </c>
      <c r="I270" s="106" t="s">
        <v>786</v>
      </c>
      <c r="J270" s="106" t="s">
        <v>327</v>
      </c>
      <c r="K270" s="106" t="s">
        <v>382</v>
      </c>
      <c r="L270" s="106" t="s">
        <v>880</v>
      </c>
      <c r="M270" s="106" t="s">
        <v>388</v>
      </c>
      <c r="N270" s="106" t="s">
        <v>43</v>
      </c>
      <c r="O270" s="106" t="s">
        <v>541</v>
      </c>
      <c r="P270" s="106" t="s">
        <v>866</v>
      </c>
      <c r="Q270" s="106" t="s">
        <v>824</v>
      </c>
      <c r="R270" s="106" t="s">
        <v>60</v>
      </c>
      <c r="S270" s="83" t="str">
        <f t="shared" si="30"/>
        <v>43020A-WIND</v>
      </c>
      <c r="T270" s="83" t="str">
        <f t="shared" si="31"/>
        <v>Wind &amp; Sea Ballpark</v>
      </c>
      <c r="Y270" s="60">
        <f t="shared" si="32"/>
        <v>6</v>
      </c>
      <c r="Z270" s="49">
        <f t="shared" si="33"/>
        <v>242</v>
      </c>
      <c r="AA270" s="60">
        <f t="shared" si="34"/>
        <v>6242</v>
      </c>
    </row>
    <row r="271" spans="1:27">
      <c r="A271" s="83" t="str">
        <f t="shared" si="28"/>
        <v>43020B-CAruisseau</v>
      </c>
      <c r="B271" s="83" t="str">
        <f t="shared" si="29"/>
        <v>06-243-08</v>
      </c>
      <c r="C271" s="106" t="s">
        <v>1738</v>
      </c>
      <c r="D271" s="106" t="s">
        <v>1739</v>
      </c>
      <c r="E271" s="106" t="s">
        <v>788</v>
      </c>
      <c r="F271" s="107">
        <v>0</v>
      </c>
      <c r="G271" s="106" t="s">
        <v>1740</v>
      </c>
      <c r="H271" s="106" t="s">
        <v>83</v>
      </c>
      <c r="I271" s="106" t="s">
        <v>786</v>
      </c>
      <c r="J271" s="106" t="s">
        <v>327</v>
      </c>
      <c r="K271" s="106" t="s">
        <v>382</v>
      </c>
      <c r="L271" s="106" t="s">
        <v>880</v>
      </c>
      <c r="M271" s="106" t="s">
        <v>388</v>
      </c>
      <c r="N271" s="106" t="s">
        <v>43</v>
      </c>
      <c r="O271" s="106" t="s">
        <v>541</v>
      </c>
      <c r="P271" s="106" t="s">
        <v>866</v>
      </c>
      <c r="Q271" s="106" t="s">
        <v>1513</v>
      </c>
      <c r="R271" s="106" t="s">
        <v>83</v>
      </c>
      <c r="S271" s="83" t="str">
        <f t="shared" si="30"/>
        <v>43020B-CA</v>
      </c>
      <c r="T271" s="83" t="str">
        <f t="shared" si="31"/>
        <v>California Ballpark</v>
      </c>
      <c r="Y271" s="60">
        <f t="shared" si="32"/>
        <v>6</v>
      </c>
      <c r="Z271" s="49">
        <f t="shared" si="33"/>
        <v>243</v>
      </c>
      <c r="AA271" s="60">
        <f t="shared" si="34"/>
        <v>6243</v>
      </c>
    </row>
    <row r="272" spans="1:27">
      <c r="A272" s="83" t="str">
        <f t="shared" si="28"/>
        <v>43020C-CAnavy</v>
      </c>
      <c r="B272" s="83" t="str">
        <f t="shared" si="29"/>
        <v>06-244-16</v>
      </c>
      <c r="C272" s="106" t="s">
        <v>1741</v>
      </c>
      <c r="D272" s="106" t="s">
        <v>1742</v>
      </c>
      <c r="E272" s="106" t="s">
        <v>788</v>
      </c>
      <c r="F272" s="107">
        <v>0</v>
      </c>
      <c r="G272" s="106" t="s">
        <v>1743</v>
      </c>
      <c r="H272" s="106" t="s">
        <v>55</v>
      </c>
      <c r="I272" s="106" t="s">
        <v>786</v>
      </c>
      <c r="J272" s="106" t="s">
        <v>327</v>
      </c>
      <c r="K272" s="106" t="s">
        <v>382</v>
      </c>
      <c r="L272" s="106" t="s">
        <v>880</v>
      </c>
      <c r="M272" s="106" t="s">
        <v>388</v>
      </c>
      <c r="N272" s="106" t="s">
        <v>43</v>
      </c>
      <c r="O272" s="106" t="s">
        <v>541</v>
      </c>
      <c r="P272" s="106" t="s">
        <v>866</v>
      </c>
      <c r="Q272" s="106" t="s">
        <v>818</v>
      </c>
      <c r="R272" s="106" t="s">
        <v>71</v>
      </c>
      <c r="S272" s="83" t="str">
        <f t="shared" si="30"/>
        <v>43020C-CA</v>
      </c>
      <c r="T272" s="83" t="str">
        <f t="shared" si="31"/>
        <v>California Ballpark</v>
      </c>
      <c r="Y272" s="60">
        <f t="shared" si="32"/>
        <v>6</v>
      </c>
      <c r="Z272" s="49">
        <f t="shared" si="33"/>
        <v>244</v>
      </c>
      <c r="AA272" s="60">
        <f t="shared" si="34"/>
        <v>6244</v>
      </c>
    </row>
    <row r="273" spans="1:27">
      <c r="A273" s="83" t="str">
        <f t="shared" si="28"/>
        <v>43027A-BBBblack-red</v>
      </c>
      <c r="B273" s="83" t="str">
        <f t="shared" si="29"/>
        <v>06-245-72</v>
      </c>
      <c r="C273" s="106" t="s">
        <v>1744</v>
      </c>
      <c r="D273" s="106" t="s">
        <v>1745</v>
      </c>
      <c r="E273" s="106" t="s">
        <v>788</v>
      </c>
      <c r="F273" s="107">
        <v>0</v>
      </c>
      <c r="G273" s="106" t="s">
        <v>1746</v>
      </c>
      <c r="H273" s="106" t="s">
        <v>302</v>
      </c>
      <c r="I273" s="106" t="s">
        <v>786</v>
      </c>
      <c r="J273" s="106" t="s">
        <v>327</v>
      </c>
      <c r="K273" s="106" t="s">
        <v>382</v>
      </c>
      <c r="L273" s="106" t="s">
        <v>884</v>
      </c>
      <c r="M273" s="106" t="s">
        <v>388</v>
      </c>
      <c r="N273" s="106" t="s">
        <v>43</v>
      </c>
      <c r="O273" s="106" t="s">
        <v>541</v>
      </c>
      <c r="P273" s="106" t="s">
        <v>866</v>
      </c>
      <c r="Q273" s="106" t="s">
        <v>1638</v>
      </c>
      <c r="R273" s="106" t="s">
        <v>53</v>
      </c>
      <c r="S273" s="83" t="str">
        <f t="shared" si="30"/>
        <v>43027A-BBB</v>
      </c>
      <c r="T273" s="83" t="str">
        <f t="shared" si="31"/>
        <v>Birmingham Black Barons Ballpark NL</v>
      </c>
      <c r="Y273" s="60">
        <f t="shared" si="32"/>
        <v>6</v>
      </c>
      <c r="Z273" s="49">
        <f t="shared" si="33"/>
        <v>245</v>
      </c>
      <c r="AA273" s="60">
        <f t="shared" si="34"/>
        <v>6245</v>
      </c>
    </row>
    <row r="274" spans="1:27">
      <c r="A274" s="83" t="str">
        <f t="shared" si="28"/>
        <v>43027A-CAGnavy</v>
      </c>
      <c r="B274" s="83" t="str">
        <f t="shared" si="29"/>
        <v>06-246-16</v>
      </c>
      <c r="C274" s="106" t="s">
        <v>1747</v>
      </c>
      <c r="D274" s="106" t="s">
        <v>1748</v>
      </c>
      <c r="E274" s="106" t="s">
        <v>788</v>
      </c>
      <c r="F274" s="107">
        <v>0</v>
      </c>
      <c r="G274" s="106" t="s">
        <v>1749</v>
      </c>
      <c r="H274" s="106" t="s">
        <v>55</v>
      </c>
      <c r="I274" s="106" t="s">
        <v>786</v>
      </c>
      <c r="J274" s="106" t="s">
        <v>327</v>
      </c>
      <c r="K274" s="106" t="s">
        <v>382</v>
      </c>
      <c r="L274" s="106" t="s">
        <v>884</v>
      </c>
      <c r="M274" s="106" t="s">
        <v>388</v>
      </c>
      <c r="N274" s="106" t="s">
        <v>43</v>
      </c>
      <c r="O274" s="106" t="s">
        <v>541</v>
      </c>
      <c r="P274" s="106" t="s">
        <v>866</v>
      </c>
      <c r="Q274" s="106" t="s">
        <v>818</v>
      </c>
      <c r="R274" s="106" t="s">
        <v>71</v>
      </c>
      <c r="S274" s="83" t="str">
        <f t="shared" si="30"/>
        <v>43027A-CAG</v>
      </c>
      <c r="T274" s="83" t="str">
        <f t="shared" si="31"/>
        <v>Chicago American Giants Ballpark NL</v>
      </c>
      <c r="Y274" s="60">
        <f t="shared" si="32"/>
        <v>6</v>
      </c>
      <c r="Z274" s="49">
        <f t="shared" si="33"/>
        <v>246</v>
      </c>
      <c r="AA274" s="60">
        <f t="shared" si="34"/>
        <v>6246</v>
      </c>
    </row>
    <row r="275" spans="1:27">
      <c r="A275" s="83" t="str">
        <f t="shared" si="28"/>
        <v>43027A-HOGgrey</v>
      </c>
      <c r="B275" s="83" t="str">
        <f t="shared" si="29"/>
        <v>06-247-08</v>
      </c>
      <c r="C275" s="106" t="s">
        <v>1750</v>
      </c>
      <c r="D275" s="106" t="s">
        <v>1751</v>
      </c>
      <c r="E275" s="106" t="s">
        <v>788</v>
      </c>
      <c r="F275" s="107">
        <v>0</v>
      </c>
      <c r="G275" s="106" t="s">
        <v>1752</v>
      </c>
      <c r="H275" s="106" t="s">
        <v>83</v>
      </c>
      <c r="I275" s="106" t="s">
        <v>786</v>
      </c>
      <c r="J275" s="106" t="s">
        <v>327</v>
      </c>
      <c r="K275" s="106" t="s">
        <v>382</v>
      </c>
      <c r="L275" s="106" t="s">
        <v>884</v>
      </c>
      <c r="M275" s="106" t="s">
        <v>388</v>
      </c>
      <c r="N275" s="106" t="s">
        <v>43</v>
      </c>
      <c r="O275" s="106" t="s">
        <v>541</v>
      </c>
      <c r="P275" s="106" t="s">
        <v>866</v>
      </c>
      <c r="Q275" s="106" t="s">
        <v>787</v>
      </c>
      <c r="R275" s="106" t="s">
        <v>83</v>
      </c>
      <c r="S275" s="83" t="str">
        <f t="shared" si="30"/>
        <v>43027A-HOG</v>
      </c>
      <c r="T275" s="83" t="str">
        <f t="shared" si="31"/>
        <v>Homestead Grays Ballpark NL</v>
      </c>
      <c r="Y275" s="60">
        <f t="shared" si="32"/>
        <v>6</v>
      </c>
      <c r="Z275" s="49">
        <f t="shared" si="33"/>
        <v>247</v>
      </c>
      <c r="AA275" s="60">
        <f t="shared" si="34"/>
        <v>6247</v>
      </c>
    </row>
    <row r="276" spans="1:27">
      <c r="A276" s="83" t="str">
        <f t="shared" si="28"/>
        <v>43027A-KCMred</v>
      </c>
      <c r="B276" s="83" t="str">
        <f t="shared" si="29"/>
        <v>06-248-18</v>
      </c>
      <c r="C276" s="106" t="s">
        <v>1753</v>
      </c>
      <c r="D276" s="106" t="s">
        <v>1754</v>
      </c>
      <c r="E276" s="106" t="s">
        <v>788</v>
      </c>
      <c r="F276" s="107">
        <v>0</v>
      </c>
      <c r="G276" s="106" t="s">
        <v>1755</v>
      </c>
      <c r="H276" s="106" t="s">
        <v>78</v>
      </c>
      <c r="I276" s="106" t="s">
        <v>786</v>
      </c>
      <c r="J276" s="106" t="s">
        <v>327</v>
      </c>
      <c r="K276" s="106" t="s">
        <v>382</v>
      </c>
      <c r="L276" s="106" t="s">
        <v>884</v>
      </c>
      <c r="M276" s="106" t="s">
        <v>388</v>
      </c>
      <c r="N276" s="106" t="s">
        <v>43</v>
      </c>
      <c r="O276" s="106" t="s">
        <v>541</v>
      </c>
      <c r="P276" s="106" t="s">
        <v>866</v>
      </c>
      <c r="Q276" s="106" t="s">
        <v>822</v>
      </c>
      <c r="R276" s="106" t="s">
        <v>78</v>
      </c>
      <c r="S276" s="83" t="str">
        <f t="shared" si="30"/>
        <v>43027A-KCM</v>
      </c>
      <c r="T276" s="83" t="str">
        <f t="shared" si="31"/>
        <v>Kansas City Monarchs Ballpark NL</v>
      </c>
      <c r="Y276" s="60">
        <f t="shared" si="32"/>
        <v>6</v>
      </c>
      <c r="Z276" s="49">
        <f t="shared" si="33"/>
        <v>248</v>
      </c>
      <c r="AA276" s="60">
        <f t="shared" si="34"/>
        <v>6248</v>
      </c>
    </row>
    <row r="277" spans="1:27">
      <c r="A277" s="83" t="str">
        <f t="shared" si="28"/>
        <v>43062A-DRWblack</v>
      </c>
      <c r="B277" s="83" t="str">
        <f t="shared" si="29"/>
        <v>06-249-09</v>
      </c>
      <c r="C277" s="106" t="s">
        <v>1756</v>
      </c>
      <c r="D277" s="106" t="s">
        <v>1757</v>
      </c>
      <c r="E277" s="106" t="s">
        <v>788</v>
      </c>
      <c r="F277" s="107">
        <v>0</v>
      </c>
      <c r="G277" s="106" t="s">
        <v>1758</v>
      </c>
      <c r="H277" s="106" t="s">
        <v>53</v>
      </c>
      <c r="I277" s="106" t="s">
        <v>786</v>
      </c>
      <c r="J277" s="106" t="s">
        <v>327</v>
      </c>
      <c r="K277" s="106" t="s">
        <v>382</v>
      </c>
      <c r="L277" s="106" t="s">
        <v>884</v>
      </c>
      <c r="M277" s="106" t="s">
        <v>388</v>
      </c>
      <c r="N277" s="106" t="s">
        <v>43</v>
      </c>
      <c r="O277" s="106" t="s">
        <v>386</v>
      </c>
      <c r="P277" s="106" t="s">
        <v>866</v>
      </c>
      <c r="Q277" s="106" t="s">
        <v>819</v>
      </c>
      <c r="R277" s="106" t="s">
        <v>53</v>
      </c>
      <c r="S277" s="83" t="str">
        <f t="shared" si="30"/>
        <v>43062A-DRW</v>
      </c>
      <c r="T277" s="83" t="str">
        <f t="shared" si="31"/>
        <v>Detroit Red Wings U2 Original 6 NHL</v>
      </c>
      <c r="Y277" s="60">
        <f t="shared" si="32"/>
        <v>6</v>
      </c>
      <c r="Z277" s="49">
        <f t="shared" si="33"/>
        <v>249</v>
      </c>
      <c r="AA277" s="60">
        <f t="shared" si="34"/>
        <v>6249</v>
      </c>
    </row>
    <row r="278" spans="1:27">
      <c r="A278" s="83" t="str">
        <f t="shared" si="28"/>
        <v>43062A-NYRblack</v>
      </c>
      <c r="B278" s="83" t="str">
        <f t="shared" si="29"/>
        <v>06-250-09</v>
      </c>
      <c r="C278" s="106" t="s">
        <v>1759</v>
      </c>
      <c r="D278" s="106" t="s">
        <v>1760</v>
      </c>
      <c r="E278" s="106" t="s">
        <v>788</v>
      </c>
      <c r="F278" s="107">
        <v>0</v>
      </c>
      <c r="G278" s="106" t="s">
        <v>1761</v>
      </c>
      <c r="H278" s="106" t="s">
        <v>53</v>
      </c>
      <c r="I278" s="106" t="s">
        <v>786</v>
      </c>
      <c r="J278" s="106" t="s">
        <v>327</v>
      </c>
      <c r="K278" s="106" t="s">
        <v>382</v>
      </c>
      <c r="L278" s="106" t="s">
        <v>884</v>
      </c>
      <c r="M278" s="106" t="s">
        <v>388</v>
      </c>
      <c r="N278" s="106" t="s">
        <v>43</v>
      </c>
      <c r="O278" s="106" t="s">
        <v>386</v>
      </c>
      <c r="P278" s="106" t="s">
        <v>866</v>
      </c>
      <c r="Q278" s="106" t="s">
        <v>819</v>
      </c>
      <c r="R278" s="106" t="s">
        <v>53</v>
      </c>
      <c r="S278" s="83" t="str">
        <f t="shared" si="30"/>
        <v>43062A-NYR</v>
      </c>
      <c r="T278" s="83" t="str">
        <f t="shared" si="31"/>
        <v>New York Rangers U2 Original 6 NHL</v>
      </c>
      <c r="Y278" s="60">
        <f t="shared" si="32"/>
        <v>6</v>
      </c>
      <c r="Z278" s="49">
        <f t="shared" si="33"/>
        <v>250</v>
      </c>
      <c r="AA278" s="60">
        <f t="shared" si="34"/>
        <v>6250</v>
      </c>
    </row>
    <row r="279" spans="1:27">
      <c r="A279" s="83" t="str">
        <f t="shared" si="28"/>
        <v>43082A-DRWred-black</v>
      </c>
      <c r="B279" s="83" t="str">
        <f t="shared" si="29"/>
        <v>06-251-72</v>
      </c>
      <c r="C279" s="106" t="s">
        <v>1762</v>
      </c>
      <c r="D279" s="106" t="s">
        <v>1763</v>
      </c>
      <c r="E279" s="106" t="s">
        <v>788</v>
      </c>
      <c r="F279" s="107">
        <v>0</v>
      </c>
      <c r="G279" s="106" t="s">
        <v>1764</v>
      </c>
      <c r="H279" s="106" t="s">
        <v>186</v>
      </c>
      <c r="I279" s="106" t="s">
        <v>786</v>
      </c>
      <c r="J279" s="106" t="s">
        <v>327</v>
      </c>
      <c r="K279" s="106" t="s">
        <v>382</v>
      </c>
      <c r="L279" s="106" t="s">
        <v>884</v>
      </c>
      <c r="M279" s="106" t="s">
        <v>388</v>
      </c>
      <c r="N279" s="106" t="s">
        <v>43</v>
      </c>
      <c r="O279" s="106" t="s">
        <v>541</v>
      </c>
      <c r="P279" s="106" t="s">
        <v>866</v>
      </c>
      <c r="Q279" s="106" t="s">
        <v>1646</v>
      </c>
      <c r="R279" s="106" t="s">
        <v>78</v>
      </c>
      <c r="S279" s="83" t="str">
        <f t="shared" si="30"/>
        <v>43082A-DRW</v>
      </c>
      <c r="T279" s="83" t="str">
        <f t="shared" si="31"/>
        <v>Detroit Red Wings Dyer NHL</v>
      </c>
      <c r="Y279" s="60">
        <f t="shared" si="32"/>
        <v>6</v>
      </c>
      <c r="Z279" s="49">
        <f t="shared" si="33"/>
        <v>251</v>
      </c>
      <c r="AA279" s="60">
        <f t="shared" si="34"/>
        <v>6251</v>
      </c>
    </row>
    <row r="280" spans="1:27">
      <c r="A280" s="83" t="str">
        <f t="shared" si="28"/>
        <v>43082A-LAKblack-chr</v>
      </c>
      <c r="B280" s="83" t="str">
        <f t="shared" si="29"/>
        <v>06-252-10</v>
      </c>
      <c r="C280" s="106" t="s">
        <v>1765</v>
      </c>
      <c r="D280" s="106" t="s">
        <v>1766</v>
      </c>
      <c r="E280" s="106" t="s">
        <v>788</v>
      </c>
      <c r="F280" s="107">
        <v>0</v>
      </c>
      <c r="G280" s="106" t="s">
        <v>1767</v>
      </c>
      <c r="H280" s="106" t="s">
        <v>308</v>
      </c>
      <c r="I280" s="106" t="s">
        <v>786</v>
      </c>
      <c r="J280" s="106" t="s">
        <v>327</v>
      </c>
      <c r="K280" s="106" t="s">
        <v>382</v>
      </c>
      <c r="L280" s="106" t="s">
        <v>884</v>
      </c>
      <c r="M280" s="106" t="s">
        <v>388</v>
      </c>
      <c r="N280" s="106" t="s">
        <v>43</v>
      </c>
      <c r="O280" s="106" t="s">
        <v>541</v>
      </c>
      <c r="P280" s="106" t="s">
        <v>866</v>
      </c>
      <c r="Q280" s="106" t="s">
        <v>1768</v>
      </c>
      <c r="R280" s="106" t="s">
        <v>53</v>
      </c>
      <c r="S280" s="83" t="str">
        <f t="shared" si="30"/>
        <v>43082A-LAK</v>
      </c>
      <c r="T280" s="83" t="str">
        <f t="shared" si="31"/>
        <v>Los Angeles Kings Dyer NHL</v>
      </c>
      <c r="Y280" s="60">
        <f t="shared" si="32"/>
        <v>6</v>
      </c>
      <c r="Z280" s="49">
        <f t="shared" si="33"/>
        <v>252</v>
      </c>
      <c r="AA280" s="60">
        <f t="shared" si="34"/>
        <v>6252</v>
      </c>
    </row>
    <row r="281" spans="1:27">
      <c r="A281" s="83" t="str">
        <f t="shared" si="28"/>
        <v>43082A-NYIblorng</v>
      </c>
      <c r="B281" s="83" t="str">
        <f t="shared" si="29"/>
        <v>06-253-45</v>
      </c>
      <c r="C281" s="106" t="s">
        <v>1769</v>
      </c>
      <c r="D281" s="106" t="s">
        <v>1770</v>
      </c>
      <c r="E281" s="106" t="s">
        <v>788</v>
      </c>
      <c r="F281" s="107">
        <v>0</v>
      </c>
      <c r="G281" s="106" t="s">
        <v>1771</v>
      </c>
      <c r="H281" s="106" t="s">
        <v>254</v>
      </c>
      <c r="I281" s="106" t="s">
        <v>786</v>
      </c>
      <c r="J281" s="106" t="s">
        <v>327</v>
      </c>
      <c r="K281" s="106" t="s">
        <v>382</v>
      </c>
      <c r="L281" s="106" t="s">
        <v>884</v>
      </c>
      <c r="M281" s="106" t="s">
        <v>388</v>
      </c>
      <c r="N281" s="106" t="s">
        <v>43</v>
      </c>
      <c r="O281" s="106" t="s">
        <v>541</v>
      </c>
      <c r="P281" s="106" t="s">
        <v>866</v>
      </c>
      <c r="Q281" s="106" t="s">
        <v>1772</v>
      </c>
      <c r="R281" s="106" t="s">
        <v>71</v>
      </c>
      <c r="S281" s="83" t="str">
        <f t="shared" si="30"/>
        <v>43082A-NYI</v>
      </c>
      <c r="T281" s="83" t="str">
        <f t="shared" si="31"/>
        <v>New York Islanders Dyer NHL</v>
      </c>
      <c r="Y281" s="60">
        <f t="shared" si="32"/>
        <v>6</v>
      </c>
      <c r="Z281" s="49">
        <f t="shared" si="33"/>
        <v>253</v>
      </c>
      <c r="AA281" s="60">
        <f t="shared" si="34"/>
        <v>6253</v>
      </c>
    </row>
    <row r="282" spans="1:27">
      <c r="A282" s="83" t="str">
        <f t="shared" si="28"/>
        <v>43300A-MALIblue</v>
      </c>
      <c r="B282" s="83" t="str">
        <f t="shared" si="29"/>
        <v>06-254-19</v>
      </c>
      <c r="C282" s="106" t="s">
        <v>1773</v>
      </c>
      <c r="D282" s="106" t="s">
        <v>1774</v>
      </c>
      <c r="E282" s="106" t="s">
        <v>788</v>
      </c>
      <c r="F282" s="107">
        <v>0</v>
      </c>
      <c r="G282" s="106" t="s">
        <v>1775</v>
      </c>
      <c r="H282" s="106" t="s">
        <v>91</v>
      </c>
      <c r="I282" s="106" t="s">
        <v>786</v>
      </c>
      <c r="J282" s="106" t="s">
        <v>327</v>
      </c>
      <c r="K282" s="106" t="s">
        <v>382</v>
      </c>
      <c r="L282" s="106" t="s">
        <v>880</v>
      </c>
      <c r="M282" s="106" t="s">
        <v>388</v>
      </c>
      <c r="N282" s="106" t="s">
        <v>43</v>
      </c>
      <c r="O282" s="106" t="s">
        <v>541</v>
      </c>
      <c r="P282" s="106" t="s">
        <v>866</v>
      </c>
      <c r="Q282" s="106" t="s">
        <v>823</v>
      </c>
      <c r="R282" s="106" t="s">
        <v>91</v>
      </c>
      <c r="S282" s="83" t="str">
        <f t="shared" si="30"/>
        <v>43300A-MALI</v>
      </c>
      <c r="T282" s="83" t="str">
        <f t="shared" si="31"/>
        <v>Malibu Board Shorts</v>
      </c>
      <c r="Y282" s="60">
        <f t="shared" si="32"/>
        <v>6</v>
      </c>
      <c r="Z282" s="49">
        <f t="shared" si="33"/>
        <v>254</v>
      </c>
      <c r="AA282" s="60">
        <f t="shared" si="34"/>
        <v>6254</v>
      </c>
    </row>
    <row r="283" spans="1:27">
      <c r="A283" s="83" t="str">
        <f t="shared" si="28"/>
        <v>43300C-LOSAblack</v>
      </c>
      <c r="B283" s="83" t="str">
        <f t="shared" si="29"/>
        <v>06-255-09</v>
      </c>
      <c r="C283" s="106" t="s">
        <v>1776</v>
      </c>
      <c r="D283" s="106" t="s">
        <v>1777</v>
      </c>
      <c r="E283" s="106" t="s">
        <v>788</v>
      </c>
      <c r="F283" s="107">
        <v>0</v>
      </c>
      <c r="G283" s="106" t="s">
        <v>1778</v>
      </c>
      <c r="H283" s="106" t="s">
        <v>53</v>
      </c>
      <c r="I283" s="106" t="s">
        <v>786</v>
      </c>
      <c r="J283" s="106" t="s">
        <v>327</v>
      </c>
      <c r="K283" s="106" t="s">
        <v>382</v>
      </c>
      <c r="L283" s="106" t="s">
        <v>880</v>
      </c>
      <c r="M283" s="106" t="s">
        <v>388</v>
      </c>
      <c r="N283" s="106" t="s">
        <v>43</v>
      </c>
      <c r="O283" s="106" t="s">
        <v>541</v>
      </c>
      <c r="P283" s="106" t="s">
        <v>866</v>
      </c>
      <c r="Q283" s="106" t="s">
        <v>819</v>
      </c>
      <c r="R283" s="106" t="s">
        <v>53</v>
      </c>
      <c r="S283" s="83" t="str">
        <f t="shared" si="30"/>
        <v>43300C-LOSA</v>
      </c>
      <c r="T283" s="83" t="str">
        <f t="shared" si="31"/>
        <v>Los Angeles Board Shorts</v>
      </c>
      <c r="Y283" s="60">
        <f t="shared" si="32"/>
        <v>6</v>
      </c>
      <c r="Z283" s="49">
        <f t="shared" si="33"/>
        <v>255</v>
      </c>
      <c r="AA283" s="60">
        <f t="shared" si="34"/>
        <v>6255</v>
      </c>
    </row>
    <row r="284" spans="1:27">
      <c r="A284" s="83" t="str">
        <f t="shared" si="28"/>
        <v>43352A-BBRblk-gold</v>
      </c>
      <c r="B284" s="83" t="str">
        <f t="shared" si="29"/>
        <v>06-256-69</v>
      </c>
      <c r="C284" s="106" t="s">
        <v>1779</v>
      </c>
      <c r="D284" s="106" t="s">
        <v>1780</v>
      </c>
      <c r="E284" s="106" t="s">
        <v>788</v>
      </c>
      <c r="F284" s="107">
        <v>0</v>
      </c>
      <c r="G284" s="106" t="s">
        <v>1781</v>
      </c>
      <c r="H284" s="106" t="s">
        <v>686</v>
      </c>
      <c r="I284" s="106" t="s">
        <v>786</v>
      </c>
      <c r="J284" s="106" t="s">
        <v>356</v>
      </c>
      <c r="K284" s="106" t="s">
        <v>382</v>
      </c>
      <c r="L284" s="106" t="s">
        <v>884</v>
      </c>
      <c r="M284" s="106" t="s">
        <v>388</v>
      </c>
      <c r="N284" s="106" t="s">
        <v>43</v>
      </c>
      <c r="O284" s="106" t="s">
        <v>386</v>
      </c>
      <c r="P284" s="106" t="s">
        <v>866</v>
      </c>
      <c r="Q284" s="106" t="s">
        <v>1782</v>
      </c>
      <c r="R284" s="106" t="s">
        <v>83</v>
      </c>
      <c r="S284" s="83" t="str">
        <f t="shared" si="30"/>
        <v>43352A-BBR</v>
      </c>
      <c r="T284" s="83" t="str">
        <f t="shared" si="31"/>
        <v>Boston Bruins Hanover NHL</v>
      </c>
      <c r="Y284" s="60">
        <f t="shared" si="32"/>
        <v>6</v>
      </c>
      <c r="Z284" s="49">
        <f t="shared" si="33"/>
        <v>256</v>
      </c>
      <c r="AA284" s="60">
        <f t="shared" si="34"/>
        <v>6256</v>
      </c>
    </row>
    <row r="285" spans="1:27">
      <c r="A285" s="83" t="str">
        <f t="shared" si="28"/>
        <v>43352A-LAKblk-grey</v>
      </c>
      <c r="B285" s="83" t="str">
        <f t="shared" si="29"/>
        <v>06-257-89</v>
      </c>
      <c r="C285" s="106" t="s">
        <v>1783</v>
      </c>
      <c r="D285" s="106" t="s">
        <v>1784</v>
      </c>
      <c r="E285" s="106" t="s">
        <v>788</v>
      </c>
      <c r="F285" s="107">
        <v>0</v>
      </c>
      <c r="G285" s="106" t="s">
        <v>1785</v>
      </c>
      <c r="H285" s="106" t="s">
        <v>688</v>
      </c>
      <c r="I285" s="106" t="s">
        <v>786</v>
      </c>
      <c r="J285" s="106" t="s">
        <v>356</v>
      </c>
      <c r="K285" s="106" t="s">
        <v>382</v>
      </c>
      <c r="L285" s="106" t="s">
        <v>884</v>
      </c>
      <c r="M285" s="106" t="s">
        <v>388</v>
      </c>
      <c r="N285" s="106" t="s">
        <v>43</v>
      </c>
      <c r="O285" s="106" t="s">
        <v>386</v>
      </c>
      <c r="P285" s="106" t="s">
        <v>866</v>
      </c>
      <c r="Q285" s="106" t="s">
        <v>1786</v>
      </c>
      <c r="R285" s="106" t="s">
        <v>83</v>
      </c>
      <c r="S285" s="83" t="str">
        <f t="shared" si="30"/>
        <v>43352A-LAK</v>
      </c>
      <c r="T285" s="83" t="str">
        <f t="shared" si="31"/>
        <v>Los Angeles Kings Hanover NHL</v>
      </c>
      <c r="Y285" s="60">
        <f t="shared" si="32"/>
        <v>6</v>
      </c>
      <c r="Z285" s="49">
        <f t="shared" si="33"/>
        <v>257</v>
      </c>
      <c r="AA285" s="60">
        <f t="shared" si="34"/>
        <v>6257</v>
      </c>
    </row>
    <row r="286" spans="1:27">
      <c r="A286" s="83" t="str">
        <f t="shared" si="28"/>
        <v>43352A-NAPnavy-gold</v>
      </c>
      <c r="B286" s="83" t="str">
        <f t="shared" si="29"/>
        <v>06-258-32</v>
      </c>
      <c r="C286" s="106" t="s">
        <v>1787</v>
      </c>
      <c r="D286" s="106" t="s">
        <v>1788</v>
      </c>
      <c r="E286" s="106" t="s">
        <v>788</v>
      </c>
      <c r="F286" s="107">
        <v>0</v>
      </c>
      <c r="G286" s="106" t="s">
        <v>1789</v>
      </c>
      <c r="H286" s="106" t="s">
        <v>280</v>
      </c>
      <c r="I286" s="106" t="s">
        <v>786</v>
      </c>
      <c r="J286" s="106" t="s">
        <v>356</v>
      </c>
      <c r="K286" s="106" t="s">
        <v>382</v>
      </c>
      <c r="L286" s="106" t="s">
        <v>884</v>
      </c>
      <c r="M286" s="106" t="s">
        <v>388</v>
      </c>
      <c r="N286" s="106" t="s">
        <v>43</v>
      </c>
      <c r="O286" s="106" t="s">
        <v>386</v>
      </c>
      <c r="P286" s="106" t="s">
        <v>866</v>
      </c>
      <c r="Q286" s="106" t="s">
        <v>1790</v>
      </c>
      <c r="R286" s="106" t="s">
        <v>71</v>
      </c>
      <c r="S286" s="83" t="str">
        <f t="shared" si="30"/>
        <v>43352A-NAP</v>
      </c>
      <c r="T286" s="83" t="str">
        <f t="shared" si="31"/>
        <v>Nashville Predators Hanover NHL</v>
      </c>
      <c r="Y286" s="60">
        <f t="shared" si="32"/>
        <v>6</v>
      </c>
      <c r="Z286" s="49">
        <f t="shared" si="33"/>
        <v>258</v>
      </c>
      <c r="AA286" s="60">
        <f t="shared" si="34"/>
        <v>6258</v>
      </c>
    </row>
    <row r="287" spans="1:27">
      <c r="A287" s="83" t="str">
        <f t="shared" si="28"/>
        <v>43422A-LAKivch</v>
      </c>
      <c r="B287" s="83" t="str">
        <f t="shared" si="29"/>
        <v>06-259-05</v>
      </c>
      <c r="C287" s="106" t="s">
        <v>1791</v>
      </c>
      <c r="D287" s="106" t="s">
        <v>1792</v>
      </c>
      <c r="E287" s="106" t="s">
        <v>788</v>
      </c>
      <c r="F287" s="107">
        <v>0</v>
      </c>
      <c r="G287" s="106" t="s">
        <v>1793</v>
      </c>
      <c r="H287" s="106" t="s">
        <v>277</v>
      </c>
      <c r="I287" s="106" t="s">
        <v>1034</v>
      </c>
      <c r="J287" s="106" t="s">
        <v>356</v>
      </c>
      <c r="K287" s="106" t="s">
        <v>382</v>
      </c>
      <c r="L287" s="106" t="s">
        <v>884</v>
      </c>
      <c r="M287" s="106" t="s">
        <v>388</v>
      </c>
      <c r="N287" s="106" t="s">
        <v>43</v>
      </c>
      <c r="O287" s="106" t="s">
        <v>386</v>
      </c>
      <c r="P287" s="106" t="s">
        <v>866</v>
      </c>
      <c r="Q287" s="106" t="s">
        <v>1794</v>
      </c>
      <c r="R287" s="106" t="s">
        <v>83</v>
      </c>
      <c r="S287" s="83" t="str">
        <f t="shared" si="30"/>
        <v>43422A-LAK</v>
      </c>
      <c r="T287" s="83" t="str">
        <f t="shared" si="31"/>
        <v>Los Angeles Kings Ravenswood NHL</v>
      </c>
      <c r="Y287" s="60">
        <f t="shared" si="32"/>
        <v>6</v>
      </c>
      <c r="Z287" s="49">
        <f t="shared" si="33"/>
        <v>259</v>
      </c>
      <c r="AA287" s="60">
        <f t="shared" si="34"/>
        <v>6259</v>
      </c>
    </row>
    <row r="288" spans="1:27">
      <c r="A288" s="83" t="str">
        <f t="shared" si="28"/>
        <v>43572A-LAKivbk</v>
      </c>
      <c r="B288" s="83" t="str">
        <f t="shared" si="29"/>
        <v>06-260-80</v>
      </c>
      <c r="C288" s="106" t="s">
        <v>1795</v>
      </c>
      <c r="D288" s="106" t="s">
        <v>1796</v>
      </c>
      <c r="E288" s="106" t="s">
        <v>788</v>
      </c>
      <c r="F288" s="107">
        <v>0</v>
      </c>
      <c r="G288" s="106" t="s">
        <v>1797</v>
      </c>
      <c r="H288" s="106" t="s">
        <v>51</v>
      </c>
      <c r="I288" s="106" t="s">
        <v>786</v>
      </c>
      <c r="J288" s="106" t="s">
        <v>327</v>
      </c>
      <c r="K288" s="106" t="s">
        <v>382</v>
      </c>
      <c r="L288" s="106" t="s">
        <v>884</v>
      </c>
      <c r="M288" s="106" t="s">
        <v>388</v>
      </c>
      <c r="N288" s="106" t="s">
        <v>43</v>
      </c>
      <c r="O288" s="106" t="s">
        <v>541</v>
      </c>
      <c r="P288" s="106" t="s">
        <v>866</v>
      </c>
      <c r="Q288" s="106" t="s">
        <v>1122</v>
      </c>
      <c r="R288" s="106" t="s">
        <v>63</v>
      </c>
      <c r="S288" s="83" t="str">
        <f t="shared" si="30"/>
        <v>43572A-LAK</v>
      </c>
      <c r="T288" s="83" t="str">
        <f t="shared" si="31"/>
        <v>Los Angeles Kings United NHL</v>
      </c>
      <c r="Y288" s="60">
        <f t="shared" si="32"/>
        <v>6</v>
      </c>
      <c r="Z288" s="49">
        <f t="shared" si="33"/>
        <v>260</v>
      </c>
      <c r="AA288" s="60">
        <f t="shared" si="34"/>
        <v>6260</v>
      </c>
    </row>
    <row r="289" spans="1:27">
      <c r="A289" s="83" t="str">
        <f t="shared" si="28"/>
        <v>43572A-MNWivbk</v>
      </c>
      <c r="B289" s="83" t="str">
        <f t="shared" si="29"/>
        <v>06-261-80</v>
      </c>
      <c r="C289" s="106" t="s">
        <v>1798</v>
      </c>
      <c r="D289" s="106" t="s">
        <v>1799</v>
      </c>
      <c r="E289" s="106" t="s">
        <v>788</v>
      </c>
      <c r="F289" s="107">
        <v>0</v>
      </c>
      <c r="G289" s="106" t="s">
        <v>1800</v>
      </c>
      <c r="H289" s="106" t="s">
        <v>51</v>
      </c>
      <c r="I289" s="106" t="s">
        <v>786</v>
      </c>
      <c r="J289" s="106" t="s">
        <v>327</v>
      </c>
      <c r="K289" s="106" t="s">
        <v>382</v>
      </c>
      <c r="L289" s="106" t="s">
        <v>884</v>
      </c>
      <c r="M289" s="106" t="s">
        <v>388</v>
      </c>
      <c r="N289" s="106" t="s">
        <v>43</v>
      </c>
      <c r="O289" s="106" t="s">
        <v>541</v>
      </c>
      <c r="P289" s="106" t="s">
        <v>866</v>
      </c>
      <c r="Q289" s="106" t="s">
        <v>1122</v>
      </c>
      <c r="R289" s="106" t="s">
        <v>63</v>
      </c>
      <c r="S289" s="83" t="str">
        <f t="shared" si="30"/>
        <v>43572A-MNW</v>
      </c>
      <c r="T289" s="83" t="str">
        <f t="shared" si="31"/>
        <v>Minnesota Wild United NHL</v>
      </c>
      <c r="Y289" s="60">
        <f t="shared" si="32"/>
        <v>6</v>
      </c>
      <c r="Z289" s="49">
        <f t="shared" si="33"/>
        <v>261</v>
      </c>
      <c r="AA289" s="60">
        <f t="shared" si="34"/>
        <v>6261</v>
      </c>
    </row>
    <row r="290" spans="1:27">
      <c r="A290" s="83" t="str">
        <f t="shared" si="28"/>
        <v>43572A-NYRivrl</v>
      </c>
      <c r="B290" s="83" t="str">
        <f t="shared" si="29"/>
        <v>06-262-38</v>
      </c>
      <c r="C290" s="106" t="s">
        <v>1801</v>
      </c>
      <c r="D290" s="106" t="s">
        <v>1802</v>
      </c>
      <c r="E290" s="106" t="s">
        <v>788</v>
      </c>
      <c r="F290" s="107">
        <v>0</v>
      </c>
      <c r="G290" s="106" t="s">
        <v>1803</v>
      </c>
      <c r="H290" s="106" t="s">
        <v>97</v>
      </c>
      <c r="I290" s="106" t="s">
        <v>786</v>
      </c>
      <c r="J290" s="106" t="s">
        <v>327</v>
      </c>
      <c r="K290" s="106" t="s">
        <v>382</v>
      </c>
      <c r="L290" s="106" t="s">
        <v>884</v>
      </c>
      <c r="M290" s="106" t="s">
        <v>388</v>
      </c>
      <c r="N290" s="106" t="s">
        <v>43</v>
      </c>
      <c r="O290" s="106" t="s">
        <v>541</v>
      </c>
      <c r="P290" s="106" t="s">
        <v>866</v>
      </c>
      <c r="Q290" s="106" t="s">
        <v>1400</v>
      </c>
      <c r="R290" s="106" t="s">
        <v>63</v>
      </c>
      <c r="S290" s="83" t="str">
        <f t="shared" si="30"/>
        <v>43572A-NYR</v>
      </c>
      <c r="T290" s="83" t="str">
        <f t="shared" si="31"/>
        <v>New York Rangers United NHL</v>
      </c>
      <c r="Y290" s="60">
        <f t="shared" si="32"/>
        <v>6</v>
      </c>
      <c r="Z290" s="49">
        <f t="shared" si="33"/>
        <v>262</v>
      </c>
      <c r="AA290" s="60">
        <f t="shared" si="34"/>
        <v>6262</v>
      </c>
    </row>
    <row r="291" spans="1:27">
      <c r="A291" s="83" t="str">
        <f t="shared" si="28"/>
        <v>43592A-DRWblack-red</v>
      </c>
      <c r="B291" s="83" t="str">
        <f t="shared" si="29"/>
        <v>06-263-72</v>
      </c>
      <c r="C291" s="106" t="s">
        <v>1804</v>
      </c>
      <c r="D291" s="106" t="s">
        <v>1805</v>
      </c>
      <c r="E291" s="106" t="s">
        <v>788</v>
      </c>
      <c r="F291" s="107">
        <v>0</v>
      </c>
      <c r="G291" s="106" t="s">
        <v>1806</v>
      </c>
      <c r="H291" s="106" t="s">
        <v>302</v>
      </c>
      <c r="I291" s="106" t="s">
        <v>786</v>
      </c>
      <c r="J291" s="106" t="s">
        <v>327</v>
      </c>
      <c r="K291" s="106" t="s">
        <v>382</v>
      </c>
      <c r="L291" s="106" t="s">
        <v>884</v>
      </c>
      <c r="M291" s="106" t="s">
        <v>388</v>
      </c>
      <c r="N291" s="106" t="s">
        <v>43</v>
      </c>
      <c r="O291" s="106" t="s">
        <v>386</v>
      </c>
      <c r="P291" s="106" t="s">
        <v>866</v>
      </c>
      <c r="Q291" s="106" t="s">
        <v>1638</v>
      </c>
      <c r="R291" s="106" t="s">
        <v>53</v>
      </c>
      <c r="S291" s="83" t="str">
        <f t="shared" si="30"/>
        <v>43592A-DRW</v>
      </c>
      <c r="T291" s="83" t="str">
        <f t="shared" si="31"/>
        <v>Detroit Red Wings Gunner NHL</v>
      </c>
      <c r="Y291" s="60">
        <f t="shared" si="32"/>
        <v>6</v>
      </c>
      <c r="Z291" s="49">
        <f t="shared" si="33"/>
        <v>263</v>
      </c>
      <c r="AA291" s="60">
        <f t="shared" si="34"/>
        <v>6263</v>
      </c>
    </row>
    <row r="292" spans="1:27">
      <c r="A292" s="83" t="str">
        <f t="shared" si="28"/>
        <v>43592A-LAKblack-grey</v>
      </c>
      <c r="B292" s="83" t="str">
        <f t="shared" si="29"/>
        <v>06-264-89</v>
      </c>
      <c r="C292" s="106" t="s">
        <v>1807</v>
      </c>
      <c r="D292" s="106" t="s">
        <v>1808</v>
      </c>
      <c r="E292" s="106" t="s">
        <v>788</v>
      </c>
      <c r="F292" s="107">
        <v>0</v>
      </c>
      <c r="G292" s="106" t="s">
        <v>1809</v>
      </c>
      <c r="H292" s="106" t="s">
        <v>688</v>
      </c>
      <c r="I292" s="106" t="s">
        <v>786</v>
      </c>
      <c r="J292" s="106" t="s">
        <v>327</v>
      </c>
      <c r="K292" s="106" t="s">
        <v>382</v>
      </c>
      <c r="L292" s="106" t="s">
        <v>884</v>
      </c>
      <c r="M292" s="106" t="s">
        <v>388</v>
      </c>
      <c r="N292" s="106" t="s">
        <v>43</v>
      </c>
      <c r="O292" s="106" t="s">
        <v>386</v>
      </c>
      <c r="P292" s="106" t="s">
        <v>866</v>
      </c>
      <c r="Q292" s="106" t="s">
        <v>1810</v>
      </c>
      <c r="R292" s="106" t="s">
        <v>83</v>
      </c>
      <c r="S292" s="83" t="str">
        <f t="shared" si="30"/>
        <v>43592A-LAK</v>
      </c>
      <c r="T292" s="83" t="str">
        <f t="shared" si="31"/>
        <v>Los Angeles Kings Gunner NHL</v>
      </c>
      <c r="Y292" s="60">
        <f t="shared" si="32"/>
        <v>6</v>
      </c>
      <c r="Z292" s="49">
        <f t="shared" si="33"/>
        <v>264</v>
      </c>
      <c r="AA292" s="60">
        <f t="shared" si="34"/>
        <v>6264</v>
      </c>
    </row>
    <row r="293" spans="1:27">
      <c r="A293" s="83" t="str">
        <f t="shared" si="28"/>
        <v>43592A-NYRred-royal</v>
      </c>
      <c r="B293" s="83" t="str">
        <f t="shared" si="29"/>
        <v>06-265-72</v>
      </c>
      <c r="C293" s="106" t="s">
        <v>1811</v>
      </c>
      <c r="D293" s="106" t="s">
        <v>1812</v>
      </c>
      <c r="E293" s="106" t="s">
        <v>788</v>
      </c>
      <c r="F293" s="107">
        <v>0</v>
      </c>
      <c r="G293" s="106" t="s">
        <v>1813</v>
      </c>
      <c r="H293" s="106" t="s">
        <v>185</v>
      </c>
      <c r="I293" s="106" t="s">
        <v>786</v>
      </c>
      <c r="J293" s="106" t="s">
        <v>327</v>
      </c>
      <c r="K293" s="106" t="s">
        <v>382</v>
      </c>
      <c r="L293" s="106" t="s">
        <v>884</v>
      </c>
      <c r="M293" s="106" t="s">
        <v>388</v>
      </c>
      <c r="N293" s="106" t="s">
        <v>43</v>
      </c>
      <c r="O293" s="106" t="s">
        <v>386</v>
      </c>
      <c r="P293" s="106" t="s">
        <v>866</v>
      </c>
      <c r="Q293" s="106" t="s">
        <v>1814</v>
      </c>
      <c r="R293" s="106" t="s">
        <v>78</v>
      </c>
      <c r="S293" s="83" t="str">
        <f t="shared" si="30"/>
        <v>43592A-NYR</v>
      </c>
      <c r="T293" s="83" t="str">
        <f t="shared" si="31"/>
        <v>New York Rangers Gunner NHL</v>
      </c>
      <c r="Y293" s="60">
        <f t="shared" si="32"/>
        <v>6</v>
      </c>
      <c r="Z293" s="49">
        <f t="shared" si="33"/>
        <v>265</v>
      </c>
      <c r="AA293" s="60">
        <f t="shared" si="34"/>
        <v>6265</v>
      </c>
    </row>
    <row r="294" spans="1:27">
      <c r="A294" s="83" t="str">
        <f t="shared" si="28"/>
        <v>43642A-DRWwhite-red</v>
      </c>
      <c r="B294" s="83" t="str">
        <f t="shared" si="29"/>
        <v>06-266-94</v>
      </c>
      <c r="C294" s="106" t="s">
        <v>1815</v>
      </c>
      <c r="D294" s="106" t="s">
        <v>1816</v>
      </c>
      <c r="E294" s="106" t="s">
        <v>788</v>
      </c>
      <c r="F294" s="107">
        <v>0</v>
      </c>
      <c r="G294" s="106" t="s">
        <v>1817</v>
      </c>
      <c r="H294" s="106" t="s">
        <v>111</v>
      </c>
      <c r="I294" s="106" t="s">
        <v>790</v>
      </c>
      <c r="J294" s="106" t="s">
        <v>792</v>
      </c>
      <c r="K294" s="106" t="s">
        <v>382</v>
      </c>
      <c r="L294" s="106" t="s">
        <v>884</v>
      </c>
      <c r="M294" s="106" t="s">
        <v>388</v>
      </c>
      <c r="N294" s="106" t="s">
        <v>44</v>
      </c>
      <c r="O294" s="106" t="s">
        <v>541</v>
      </c>
      <c r="P294" s="106" t="s">
        <v>866</v>
      </c>
      <c r="Q294" s="106" t="s">
        <v>1818</v>
      </c>
      <c r="R294" s="106" t="s">
        <v>57</v>
      </c>
      <c r="S294" s="83" t="str">
        <f t="shared" si="30"/>
        <v>43642A-DRW</v>
      </c>
      <c r="T294" s="83" t="str">
        <f t="shared" si="31"/>
        <v>Detroit Red Wings White Out NHL</v>
      </c>
      <c r="Y294" s="60">
        <f t="shared" si="32"/>
        <v>6</v>
      </c>
      <c r="Z294" s="49">
        <f t="shared" si="33"/>
        <v>266</v>
      </c>
      <c r="AA294" s="60">
        <f t="shared" si="34"/>
        <v>6266</v>
      </c>
    </row>
    <row r="295" spans="1:27">
      <c r="A295" s="83" t="str">
        <f t="shared" si="28"/>
        <v>43642A-NYRwhite-royal</v>
      </c>
      <c r="B295" s="83" t="str">
        <f t="shared" si="29"/>
        <v>06-267-38</v>
      </c>
      <c r="C295" s="106" t="s">
        <v>1819</v>
      </c>
      <c r="D295" s="106" t="s">
        <v>1820</v>
      </c>
      <c r="E295" s="106" t="s">
        <v>788</v>
      </c>
      <c r="F295" s="107">
        <v>0</v>
      </c>
      <c r="G295" s="106" t="s">
        <v>1821</v>
      </c>
      <c r="H295" s="106" t="s">
        <v>116</v>
      </c>
      <c r="I295" s="106" t="s">
        <v>790</v>
      </c>
      <c r="J295" s="106" t="s">
        <v>792</v>
      </c>
      <c r="K295" s="106" t="s">
        <v>382</v>
      </c>
      <c r="L295" s="106" t="s">
        <v>884</v>
      </c>
      <c r="M295" s="106" t="s">
        <v>388</v>
      </c>
      <c r="N295" s="106" t="s">
        <v>44</v>
      </c>
      <c r="O295" s="106" t="s">
        <v>541</v>
      </c>
      <c r="P295" s="106" t="s">
        <v>866</v>
      </c>
      <c r="Q295" s="106" t="s">
        <v>1822</v>
      </c>
      <c r="R295" s="106" t="s">
        <v>57</v>
      </c>
      <c r="S295" s="83" t="str">
        <f t="shared" si="30"/>
        <v>43642A-NYR</v>
      </c>
      <c r="T295" s="83" t="str">
        <f t="shared" si="31"/>
        <v>New York Rangers White Out NHL</v>
      </c>
      <c r="Y295" s="60">
        <f t="shared" si="32"/>
        <v>6</v>
      </c>
      <c r="Z295" s="49">
        <f t="shared" si="33"/>
        <v>267</v>
      </c>
      <c r="AA295" s="60">
        <f t="shared" si="34"/>
        <v>6267</v>
      </c>
    </row>
    <row r="296" spans="1:27">
      <c r="A296" s="83" t="str">
        <f t="shared" si="28"/>
        <v>43672A-CBHred</v>
      </c>
      <c r="B296" s="83" t="str">
        <f t="shared" si="29"/>
        <v>06-268-18</v>
      </c>
      <c r="C296" s="106" t="s">
        <v>1823</v>
      </c>
      <c r="D296" s="106" t="s">
        <v>1824</v>
      </c>
      <c r="E296" s="106" t="s">
        <v>788</v>
      </c>
      <c r="F296" s="107">
        <v>0</v>
      </c>
      <c r="G296" s="106" t="s">
        <v>1825</v>
      </c>
      <c r="H296" s="106" t="s">
        <v>78</v>
      </c>
      <c r="I296" s="106" t="s">
        <v>888</v>
      </c>
      <c r="J296" s="106" t="s">
        <v>792</v>
      </c>
      <c r="K296" s="106" t="s">
        <v>382</v>
      </c>
      <c r="L296" s="106" t="s">
        <v>884</v>
      </c>
      <c r="M296" s="106" t="s">
        <v>388</v>
      </c>
      <c r="N296" s="106" t="s">
        <v>44</v>
      </c>
      <c r="O296" s="106" t="s">
        <v>541</v>
      </c>
      <c r="P296" s="106" t="s">
        <v>866</v>
      </c>
      <c r="Q296" s="106" t="s">
        <v>822</v>
      </c>
      <c r="R296" s="106" t="s">
        <v>78</v>
      </c>
      <c r="S296" s="83" t="str">
        <f t="shared" si="30"/>
        <v>43672A-CBH</v>
      </c>
      <c r="T296" s="83" t="str">
        <f t="shared" si="31"/>
        <v>Chicago Blackhawks Stafford NHL</v>
      </c>
      <c r="Y296" s="60">
        <f t="shared" si="32"/>
        <v>6</v>
      </c>
      <c r="Z296" s="49">
        <f t="shared" si="33"/>
        <v>268</v>
      </c>
      <c r="AA296" s="60">
        <f t="shared" si="34"/>
        <v>6268</v>
      </c>
    </row>
    <row r="297" spans="1:27">
      <c r="A297" s="83" t="str">
        <f t="shared" si="28"/>
        <v>43672A-DRWred</v>
      </c>
      <c r="B297" s="83" t="str">
        <f t="shared" si="29"/>
        <v>06-269-18</v>
      </c>
      <c r="C297" s="106" t="s">
        <v>1826</v>
      </c>
      <c r="D297" s="106" t="s">
        <v>1827</v>
      </c>
      <c r="E297" s="106" t="s">
        <v>788</v>
      </c>
      <c r="F297" s="107">
        <v>0</v>
      </c>
      <c r="G297" s="106" t="s">
        <v>1828</v>
      </c>
      <c r="H297" s="106" t="s">
        <v>78</v>
      </c>
      <c r="I297" s="106" t="s">
        <v>888</v>
      </c>
      <c r="J297" s="106" t="s">
        <v>792</v>
      </c>
      <c r="K297" s="106" t="s">
        <v>382</v>
      </c>
      <c r="L297" s="106" t="s">
        <v>884</v>
      </c>
      <c r="M297" s="106" t="s">
        <v>388</v>
      </c>
      <c r="N297" s="106" t="s">
        <v>44</v>
      </c>
      <c r="O297" s="106" t="s">
        <v>541</v>
      </c>
      <c r="P297" s="106" t="s">
        <v>866</v>
      </c>
      <c r="Q297" s="106" t="s">
        <v>822</v>
      </c>
      <c r="R297" s="106" t="s">
        <v>78</v>
      </c>
      <c r="S297" s="83" t="str">
        <f t="shared" si="30"/>
        <v>43672A-DRW</v>
      </c>
      <c r="T297" s="83" t="str">
        <f t="shared" si="31"/>
        <v>Detroit Red Wings Stafford NHL</v>
      </c>
      <c r="Y297" s="60">
        <f t="shared" si="32"/>
        <v>6</v>
      </c>
      <c r="Z297" s="49">
        <f t="shared" si="33"/>
        <v>269</v>
      </c>
      <c r="AA297" s="60">
        <f t="shared" si="34"/>
        <v>6269</v>
      </c>
    </row>
    <row r="298" spans="1:27">
      <c r="A298" s="83" t="str">
        <f t="shared" si="28"/>
        <v>43672A-NAPnavy</v>
      </c>
      <c r="B298" s="83" t="str">
        <f t="shared" si="29"/>
        <v>06-270-16</v>
      </c>
      <c r="C298" s="106" t="s">
        <v>1829</v>
      </c>
      <c r="D298" s="106" t="s">
        <v>1830</v>
      </c>
      <c r="E298" s="106" t="s">
        <v>788</v>
      </c>
      <c r="F298" s="107">
        <v>0</v>
      </c>
      <c r="G298" s="106" t="s">
        <v>1831</v>
      </c>
      <c r="H298" s="106" t="s">
        <v>55</v>
      </c>
      <c r="I298" s="106" t="s">
        <v>888</v>
      </c>
      <c r="J298" s="106" t="s">
        <v>792</v>
      </c>
      <c r="K298" s="106" t="s">
        <v>382</v>
      </c>
      <c r="L298" s="106" t="s">
        <v>884</v>
      </c>
      <c r="M298" s="106" t="s">
        <v>388</v>
      </c>
      <c r="N298" s="106" t="s">
        <v>44</v>
      </c>
      <c r="O298" s="106" t="s">
        <v>541</v>
      </c>
      <c r="P298" s="106" t="s">
        <v>866</v>
      </c>
      <c r="Q298" s="106" t="s">
        <v>818</v>
      </c>
      <c r="R298" s="106" t="s">
        <v>71</v>
      </c>
      <c r="S298" s="83" t="str">
        <f t="shared" si="30"/>
        <v>43672A-NAP</v>
      </c>
      <c r="T298" s="83" t="str">
        <f t="shared" si="31"/>
        <v>Nashville Predators Stafford NHL</v>
      </c>
      <c r="Y298" s="60">
        <f t="shared" si="32"/>
        <v>6</v>
      </c>
      <c r="Z298" s="49">
        <f t="shared" si="33"/>
        <v>270</v>
      </c>
      <c r="AA298" s="60">
        <f t="shared" si="34"/>
        <v>6270</v>
      </c>
    </row>
    <row r="299" spans="1:27">
      <c r="A299" s="83" t="str">
        <f t="shared" si="28"/>
        <v>43672A-NYRroyal</v>
      </c>
      <c r="B299" s="83" t="str">
        <f t="shared" si="29"/>
        <v>06-271-06</v>
      </c>
      <c r="C299" s="106" t="s">
        <v>1832</v>
      </c>
      <c r="D299" s="106" t="s">
        <v>1833</v>
      </c>
      <c r="E299" s="106" t="s">
        <v>788</v>
      </c>
      <c r="F299" s="107">
        <v>0</v>
      </c>
      <c r="G299" s="106" t="s">
        <v>1834</v>
      </c>
      <c r="H299" s="106" t="s">
        <v>71</v>
      </c>
      <c r="I299" s="106" t="s">
        <v>888</v>
      </c>
      <c r="J299" s="106" t="s">
        <v>792</v>
      </c>
      <c r="K299" s="106" t="s">
        <v>382</v>
      </c>
      <c r="L299" s="106" t="s">
        <v>884</v>
      </c>
      <c r="M299" s="106" t="s">
        <v>388</v>
      </c>
      <c r="N299" s="106" t="s">
        <v>44</v>
      </c>
      <c r="O299" s="106" t="s">
        <v>541</v>
      </c>
      <c r="P299" s="106" t="s">
        <v>866</v>
      </c>
      <c r="Q299" s="106" t="s">
        <v>1576</v>
      </c>
      <c r="R299" s="106" t="s">
        <v>71</v>
      </c>
      <c r="S299" s="83" t="str">
        <f t="shared" si="30"/>
        <v>43672A-NYR</v>
      </c>
      <c r="T299" s="83" t="str">
        <f t="shared" si="31"/>
        <v>New York Rangers Stafford NHL</v>
      </c>
      <c r="Y299" s="60">
        <f t="shared" si="32"/>
        <v>6</v>
      </c>
      <c r="Z299" s="49">
        <f t="shared" si="33"/>
        <v>271</v>
      </c>
      <c r="AA299" s="60">
        <f t="shared" si="34"/>
        <v>6271</v>
      </c>
    </row>
    <row r="300" spans="1:27">
      <c r="A300" s="83" t="str">
        <f t="shared" si="28"/>
        <v>43682A-CBHred</v>
      </c>
      <c r="B300" s="83" t="str">
        <f t="shared" si="29"/>
        <v>06-272-95</v>
      </c>
      <c r="C300" s="106" t="s">
        <v>1835</v>
      </c>
      <c r="D300" s="106" t="s">
        <v>1836</v>
      </c>
      <c r="E300" s="106" t="s">
        <v>788</v>
      </c>
      <c r="F300" s="107">
        <v>0</v>
      </c>
      <c r="G300" s="106" t="s">
        <v>1837</v>
      </c>
      <c r="H300" s="106" t="s">
        <v>184</v>
      </c>
      <c r="I300" s="106" t="s">
        <v>888</v>
      </c>
      <c r="J300" s="106" t="s">
        <v>792</v>
      </c>
      <c r="K300" s="106" t="s">
        <v>382</v>
      </c>
      <c r="L300" s="106" t="s">
        <v>884</v>
      </c>
      <c r="M300" s="106" t="s">
        <v>388</v>
      </c>
      <c r="N300" s="106" t="s">
        <v>44</v>
      </c>
      <c r="O300" s="106" t="s">
        <v>541</v>
      </c>
      <c r="P300" s="106" t="s">
        <v>866</v>
      </c>
      <c r="Q300" s="106" t="s">
        <v>822</v>
      </c>
      <c r="R300" s="106" t="s">
        <v>78</v>
      </c>
      <c r="S300" s="83" t="str">
        <f t="shared" si="30"/>
        <v>43682A-CBH</v>
      </c>
      <c r="T300" s="83" t="str">
        <f t="shared" si="31"/>
        <v>Chicago Blackhawks Chromel NHL</v>
      </c>
      <c r="Y300" s="60">
        <f t="shared" si="32"/>
        <v>6</v>
      </c>
      <c r="Z300" s="49">
        <f t="shared" si="33"/>
        <v>272</v>
      </c>
      <c r="AA300" s="60">
        <f t="shared" si="34"/>
        <v>6272</v>
      </c>
    </row>
    <row r="301" spans="1:27">
      <c r="A301" s="83" t="str">
        <f t="shared" si="28"/>
        <v>43682A-DRWred</v>
      </c>
      <c r="B301" s="83" t="str">
        <f t="shared" si="29"/>
        <v>06-273-95</v>
      </c>
      <c r="C301" s="106" t="s">
        <v>1838</v>
      </c>
      <c r="D301" s="106" t="s">
        <v>1839</v>
      </c>
      <c r="E301" s="106" t="s">
        <v>788</v>
      </c>
      <c r="F301" s="107">
        <v>0</v>
      </c>
      <c r="G301" s="106" t="s">
        <v>1840</v>
      </c>
      <c r="H301" s="106" t="s">
        <v>184</v>
      </c>
      <c r="I301" s="106" t="s">
        <v>888</v>
      </c>
      <c r="J301" s="106" t="s">
        <v>792</v>
      </c>
      <c r="K301" s="106" t="s">
        <v>382</v>
      </c>
      <c r="L301" s="106" t="s">
        <v>884</v>
      </c>
      <c r="M301" s="106" t="s">
        <v>388</v>
      </c>
      <c r="N301" s="106" t="s">
        <v>44</v>
      </c>
      <c r="O301" s="106" t="s">
        <v>541</v>
      </c>
      <c r="P301" s="106" t="s">
        <v>866</v>
      </c>
      <c r="Q301" s="106" t="s">
        <v>822</v>
      </c>
      <c r="R301" s="106" t="s">
        <v>78</v>
      </c>
      <c r="S301" s="83" t="str">
        <f t="shared" si="30"/>
        <v>43682A-DRW</v>
      </c>
      <c r="T301" s="83" t="str">
        <f t="shared" si="31"/>
        <v>Detroit Red Wings Chromel NHL</v>
      </c>
      <c r="Y301" s="60">
        <f t="shared" si="32"/>
        <v>6</v>
      </c>
      <c r="Z301" s="49">
        <f t="shared" si="33"/>
        <v>273</v>
      </c>
      <c r="AA301" s="60">
        <f t="shared" si="34"/>
        <v>6273</v>
      </c>
    </row>
    <row r="302" spans="1:27">
      <c r="A302" s="83" t="str">
        <f t="shared" si="28"/>
        <v>43682A-LAKblack</v>
      </c>
      <c r="B302" s="83" t="str">
        <f t="shared" si="29"/>
        <v>06-274-10</v>
      </c>
      <c r="C302" s="106" t="s">
        <v>1841</v>
      </c>
      <c r="D302" s="106" t="s">
        <v>1842</v>
      </c>
      <c r="E302" s="106" t="s">
        <v>788</v>
      </c>
      <c r="F302" s="107">
        <v>0</v>
      </c>
      <c r="G302" s="106" t="s">
        <v>1843</v>
      </c>
      <c r="H302" s="106" t="s">
        <v>308</v>
      </c>
      <c r="I302" s="106" t="s">
        <v>888</v>
      </c>
      <c r="J302" s="106" t="s">
        <v>792</v>
      </c>
      <c r="K302" s="106" t="s">
        <v>382</v>
      </c>
      <c r="L302" s="106" t="s">
        <v>884</v>
      </c>
      <c r="M302" s="106" t="s">
        <v>388</v>
      </c>
      <c r="N302" s="106" t="s">
        <v>44</v>
      </c>
      <c r="O302" s="106" t="s">
        <v>541</v>
      </c>
      <c r="P302" s="106" t="s">
        <v>866</v>
      </c>
      <c r="Q302" s="106" t="s">
        <v>819</v>
      </c>
      <c r="R302" s="106" t="s">
        <v>53</v>
      </c>
      <c r="S302" s="83" t="str">
        <f t="shared" si="30"/>
        <v>43682A-LAK</v>
      </c>
      <c r="T302" s="83" t="str">
        <f t="shared" si="31"/>
        <v>Los Angeles Kings Chromel NHL</v>
      </c>
      <c r="Y302" s="60">
        <f t="shared" si="32"/>
        <v>6</v>
      </c>
      <c r="Z302" s="49">
        <f t="shared" si="33"/>
        <v>274</v>
      </c>
      <c r="AA302" s="60">
        <f t="shared" si="34"/>
        <v>6274</v>
      </c>
    </row>
    <row r="303" spans="1:27">
      <c r="A303" s="83" t="str">
        <f t="shared" si="28"/>
        <v>43682A-NYRroyal</v>
      </c>
      <c r="B303" s="83" t="str">
        <f t="shared" si="29"/>
        <v>06-275-45</v>
      </c>
      <c r="C303" s="106" t="s">
        <v>1844</v>
      </c>
      <c r="D303" s="106" t="s">
        <v>1845</v>
      </c>
      <c r="E303" s="106" t="s">
        <v>788</v>
      </c>
      <c r="F303" s="107">
        <v>0</v>
      </c>
      <c r="G303" s="106" t="s">
        <v>1846</v>
      </c>
      <c r="H303" s="106" t="s">
        <v>256</v>
      </c>
      <c r="I303" s="106" t="s">
        <v>888</v>
      </c>
      <c r="J303" s="106" t="s">
        <v>792</v>
      </c>
      <c r="K303" s="106" t="s">
        <v>382</v>
      </c>
      <c r="L303" s="106" t="s">
        <v>884</v>
      </c>
      <c r="M303" s="106" t="s">
        <v>388</v>
      </c>
      <c r="N303" s="106" t="s">
        <v>44</v>
      </c>
      <c r="O303" s="106" t="s">
        <v>541</v>
      </c>
      <c r="P303" s="106" t="s">
        <v>866</v>
      </c>
      <c r="Q303" s="106" t="s">
        <v>1576</v>
      </c>
      <c r="R303" s="106" t="s">
        <v>71</v>
      </c>
      <c r="S303" s="83" t="str">
        <f t="shared" si="30"/>
        <v>43682A-NYR</v>
      </c>
      <c r="T303" s="83" t="str">
        <f t="shared" si="31"/>
        <v>New York Rangers Chromel NHL</v>
      </c>
      <c r="Y303" s="60">
        <f t="shared" si="32"/>
        <v>6</v>
      </c>
      <c r="Z303" s="49">
        <f t="shared" si="33"/>
        <v>275</v>
      </c>
      <c r="AA303" s="60">
        <f t="shared" si="34"/>
        <v>6275</v>
      </c>
    </row>
    <row r="304" spans="1:27">
      <c r="A304" s="83" t="str">
        <f t="shared" si="28"/>
        <v>43682A-PHForange</v>
      </c>
      <c r="B304" s="83" t="str">
        <f t="shared" si="29"/>
        <v>06-276-68</v>
      </c>
      <c r="C304" s="106" t="s">
        <v>1847</v>
      </c>
      <c r="D304" s="106" t="s">
        <v>1848</v>
      </c>
      <c r="E304" s="106" t="s">
        <v>788</v>
      </c>
      <c r="F304" s="107">
        <v>0</v>
      </c>
      <c r="G304" s="106" t="s">
        <v>1849</v>
      </c>
      <c r="H304" s="106" t="s">
        <v>202</v>
      </c>
      <c r="I304" s="106" t="s">
        <v>888</v>
      </c>
      <c r="J304" s="106" t="s">
        <v>792</v>
      </c>
      <c r="K304" s="106" t="s">
        <v>382</v>
      </c>
      <c r="L304" s="106" t="s">
        <v>884</v>
      </c>
      <c r="M304" s="106" t="s">
        <v>388</v>
      </c>
      <c r="N304" s="106" t="s">
        <v>44</v>
      </c>
      <c r="O304" s="106" t="s">
        <v>541</v>
      </c>
      <c r="P304" s="106" t="s">
        <v>866</v>
      </c>
      <c r="Q304" s="106" t="s">
        <v>1567</v>
      </c>
      <c r="R304" s="106" t="s">
        <v>199</v>
      </c>
      <c r="S304" s="83" t="str">
        <f t="shared" si="30"/>
        <v>43682A-PHF</v>
      </c>
      <c r="T304" s="83" t="str">
        <f t="shared" si="31"/>
        <v>Philadelphia Flyers Chromel NHL</v>
      </c>
      <c r="Y304" s="60">
        <f t="shared" si="32"/>
        <v>6</v>
      </c>
      <c r="Z304" s="49">
        <f t="shared" si="33"/>
        <v>276</v>
      </c>
      <c r="AA304" s="60">
        <f t="shared" si="34"/>
        <v>6276</v>
      </c>
    </row>
    <row r="305" spans="1:27">
      <c r="A305" s="83" t="str">
        <f t="shared" si="28"/>
        <v>43692A-NHLblack-camo</v>
      </c>
      <c r="B305" s="83" t="str">
        <f t="shared" si="29"/>
        <v>06-277-75</v>
      </c>
      <c r="C305" s="106" t="s">
        <v>1850</v>
      </c>
      <c r="D305" s="106" t="s">
        <v>1851</v>
      </c>
      <c r="E305" s="106" t="s">
        <v>788</v>
      </c>
      <c r="F305" s="107">
        <v>0</v>
      </c>
      <c r="G305" s="106" t="s">
        <v>1852</v>
      </c>
      <c r="H305" s="106" t="s">
        <v>691</v>
      </c>
      <c r="I305" s="106" t="s">
        <v>888</v>
      </c>
      <c r="J305" s="106" t="s">
        <v>792</v>
      </c>
      <c r="K305" s="106" t="s">
        <v>382</v>
      </c>
      <c r="L305" s="106" t="s">
        <v>884</v>
      </c>
      <c r="M305" s="106" t="s">
        <v>388</v>
      </c>
      <c r="N305" s="106" t="s">
        <v>44</v>
      </c>
      <c r="O305" s="106" t="s">
        <v>541</v>
      </c>
      <c r="P305" s="106" t="s">
        <v>866</v>
      </c>
      <c r="Q305" s="106" t="s">
        <v>1853</v>
      </c>
      <c r="R305" s="106" t="s">
        <v>53</v>
      </c>
      <c r="S305" s="83" t="str">
        <f t="shared" si="30"/>
        <v>43692A-NHL</v>
      </c>
      <c r="T305" s="83" t="str">
        <f t="shared" si="31"/>
        <v>Original 6 Sundown NHL</v>
      </c>
      <c r="Y305" s="60">
        <f t="shared" si="32"/>
        <v>6</v>
      </c>
      <c r="Z305" s="49">
        <f t="shared" si="33"/>
        <v>277</v>
      </c>
      <c r="AA305" s="60">
        <f t="shared" si="34"/>
        <v>6277</v>
      </c>
    </row>
    <row r="306" spans="1:27">
      <c r="A306" s="83" t="str">
        <f t="shared" si="28"/>
        <v>43732A-CAHblack-red</v>
      </c>
      <c r="B306" s="83" t="str">
        <f t="shared" si="29"/>
        <v>06-278-72</v>
      </c>
      <c r="C306" s="106" t="s">
        <v>1854</v>
      </c>
      <c r="D306" s="106" t="s">
        <v>1855</v>
      </c>
      <c r="E306" s="106" t="s">
        <v>788</v>
      </c>
      <c r="F306" s="107">
        <v>0</v>
      </c>
      <c r="G306" s="106" t="s">
        <v>1856</v>
      </c>
      <c r="H306" s="106" t="s">
        <v>302</v>
      </c>
      <c r="I306" s="106" t="s">
        <v>888</v>
      </c>
      <c r="J306" s="106" t="s">
        <v>792</v>
      </c>
      <c r="K306" s="106" t="s">
        <v>382</v>
      </c>
      <c r="L306" s="106" t="s">
        <v>884</v>
      </c>
      <c r="M306" s="106" t="s">
        <v>388</v>
      </c>
      <c r="N306" s="106" t="s">
        <v>44</v>
      </c>
      <c r="O306" s="106" t="s">
        <v>541</v>
      </c>
      <c r="P306" s="106" t="s">
        <v>866</v>
      </c>
      <c r="Q306" s="106" t="s">
        <v>1638</v>
      </c>
      <c r="R306" s="106" t="s">
        <v>53</v>
      </c>
      <c r="S306" s="83" t="str">
        <f t="shared" si="30"/>
        <v>43732A-CAH</v>
      </c>
      <c r="T306" s="83" t="str">
        <f t="shared" si="31"/>
        <v>Carolina Hurricanes Blockhead NHL</v>
      </c>
      <c r="Y306" s="60">
        <f t="shared" si="32"/>
        <v>6</v>
      </c>
      <c r="Z306" s="49">
        <f t="shared" si="33"/>
        <v>278</v>
      </c>
      <c r="AA306" s="60">
        <f t="shared" si="34"/>
        <v>6278</v>
      </c>
    </row>
    <row r="307" spans="1:27">
      <c r="A307" s="83" t="str">
        <f t="shared" si="28"/>
        <v>43732A-MNWblack-green</v>
      </c>
      <c r="B307" s="83" t="str">
        <f t="shared" si="29"/>
        <v>06-279-33</v>
      </c>
      <c r="C307" s="106" t="s">
        <v>1857</v>
      </c>
      <c r="D307" s="106" t="s">
        <v>1858</v>
      </c>
      <c r="E307" s="106" t="s">
        <v>788</v>
      </c>
      <c r="F307" s="107">
        <v>0</v>
      </c>
      <c r="G307" s="106" t="s">
        <v>1859</v>
      </c>
      <c r="H307" s="106" t="s">
        <v>299</v>
      </c>
      <c r="I307" s="106" t="s">
        <v>888</v>
      </c>
      <c r="J307" s="106" t="s">
        <v>792</v>
      </c>
      <c r="K307" s="106" t="s">
        <v>382</v>
      </c>
      <c r="L307" s="106" t="s">
        <v>884</v>
      </c>
      <c r="M307" s="106" t="s">
        <v>388</v>
      </c>
      <c r="N307" s="106" t="s">
        <v>44</v>
      </c>
      <c r="O307" s="106" t="s">
        <v>541</v>
      </c>
      <c r="P307" s="106" t="s">
        <v>866</v>
      </c>
      <c r="Q307" s="106" t="s">
        <v>1860</v>
      </c>
      <c r="R307" s="106" t="s">
        <v>53</v>
      </c>
      <c r="S307" s="83" t="str">
        <f t="shared" si="30"/>
        <v>43732A-MNW</v>
      </c>
      <c r="T307" s="83" t="str">
        <f t="shared" si="31"/>
        <v>Minnesota Wild Blockhead NHL</v>
      </c>
      <c r="Y307" s="60">
        <f t="shared" si="32"/>
        <v>6</v>
      </c>
      <c r="Z307" s="49">
        <f t="shared" si="33"/>
        <v>279</v>
      </c>
      <c r="AA307" s="60">
        <f t="shared" si="34"/>
        <v>6279</v>
      </c>
    </row>
    <row r="308" spans="1:27">
      <c r="A308" s="83" t="str">
        <f t="shared" si="28"/>
        <v>43870A-HTCred</v>
      </c>
      <c r="B308" s="83" t="str">
        <f t="shared" si="29"/>
        <v>06-280-18</v>
      </c>
      <c r="C308" s="106" t="s">
        <v>1861</v>
      </c>
      <c r="D308" s="106" t="s">
        <v>1862</v>
      </c>
      <c r="E308" s="106" t="s">
        <v>788</v>
      </c>
      <c r="F308" s="107">
        <v>0</v>
      </c>
      <c r="G308" s="106" t="s">
        <v>1863</v>
      </c>
      <c r="H308" s="106" t="s">
        <v>78</v>
      </c>
      <c r="I308" s="106" t="s">
        <v>786</v>
      </c>
      <c r="J308" s="106" t="s">
        <v>327</v>
      </c>
      <c r="K308" s="106" t="s">
        <v>382</v>
      </c>
      <c r="L308" s="106" t="s">
        <v>884</v>
      </c>
      <c r="M308" s="106" t="s">
        <v>388</v>
      </c>
      <c r="N308" s="106" t="s">
        <v>43</v>
      </c>
      <c r="O308" s="106" t="s">
        <v>386</v>
      </c>
      <c r="P308" s="106" t="s">
        <v>866</v>
      </c>
      <c r="Q308" s="106" t="s">
        <v>822</v>
      </c>
      <c r="R308" s="106" t="s">
        <v>78</v>
      </c>
      <c r="S308" s="83" t="str">
        <f t="shared" si="30"/>
        <v>43870A-HTC</v>
      </c>
      <c r="T308" s="83" t="str">
        <f t="shared" si="31"/>
        <v>Hiroshima Carp Hepcat NLP</v>
      </c>
      <c r="Y308" s="60">
        <f t="shared" si="32"/>
        <v>6</v>
      </c>
      <c r="Z308" s="49">
        <f t="shared" si="33"/>
        <v>280</v>
      </c>
      <c r="AA308" s="60">
        <f t="shared" si="34"/>
        <v>6280</v>
      </c>
    </row>
    <row r="309" spans="1:27">
      <c r="A309" s="83" t="str">
        <f t="shared" si="28"/>
        <v>43870A-KCKnavy</v>
      </c>
      <c r="B309" s="83" t="str">
        <f t="shared" si="29"/>
        <v>06-281-16</v>
      </c>
      <c r="C309" s="106" t="s">
        <v>1864</v>
      </c>
      <c r="D309" s="106" t="s">
        <v>1865</v>
      </c>
      <c r="E309" s="106" t="s">
        <v>788</v>
      </c>
      <c r="F309" s="107">
        <v>0</v>
      </c>
      <c r="G309" s="106" t="s">
        <v>1866</v>
      </c>
      <c r="H309" s="106" t="s">
        <v>55</v>
      </c>
      <c r="I309" s="106" t="s">
        <v>786</v>
      </c>
      <c r="J309" s="106" t="s">
        <v>327</v>
      </c>
      <c r="K309" s="106" t="s">
        <v>382</v>
      </c>
      <c r="L309" s="106" t="s">
        <v>884</v>
      </c>
      <c r="M309" s="106" t="s">
        <v>388</v>
      </c>
      <c r="N309" s="106" t="s">
        <v>43</v>
      </c>
      <c r="O309" s="106" t="s">
        <v>386</v>
      </c>
      <c r="P309" s="106" t="s">
        <v>866</v>
      </c>
      <c r="Q309" s="106" t="s">
        <v>818</v>
      </c>
      <c r="R309" s="106" t="s">
        <v>71</v>
      </c>
      <c r="S309" s="83" t="str">
        <f t="shared" si="30"/>
        <v>43870A-KCK</v>
      </c>
      <c r="T309" s="83" t="str">
        <f t="shared" si="31"/>
        <v>Kansas City Katz Hepcat MILB</v>
      </c>
      <c r="Y309" s="60">
        <f t="shared" si="32"/>
        <v>6</v>
      </c>
      <c r="Z309" s="49">
        <f t="shared" si="33"/>
        <v>281</v>
      </c>
      <c r="AA309" s="60">
        <f t="shared" si="34"/>
        <v>6281</v>
      </c>
    </row>
    <row r="310" spans="1:27">
      <c r="A310" s="83" t="str">
        <f t="shared" si="28"/>
        <v>43870A-WHAnavy</v>
      </c>
      <c r="B310" s="83" t="str">
        <f t="shared" si="29"/>
        <v>06-282-16</v>
      </c>
      <c r="C310" s="106" t="s">
        <v>1867</v>
      </c>
      <c r="D310" s="106" t="s">
        <v>1868</v>
      </c>
      <c r="E310" s="106" t="s">
        <v>788</v>
      </c>
      <c r="F310" s="107">
        <v>0</v>
      </c>
      <c r="G310" s="106" t="s">
        <v>1869</v>
      </c>
      <c r="H310" s="106" t="s">
        <v>55</v>
      </c>
      <c r="I310" s="106" t="s">
        <v>786</v>
      </c>
      <c r="J310" s="106" t="s">
        <v>327</v>
      </c>
      <c r="K310" s="106" t="s">
        <v>382</v>
      </c>
      <c r="L310" s="106" t="s">
        <v>884</v>
      </c>
      <c r="M310" s="106" t="s">
        <v>388</v>
      </c>
      <c r="N310" s="106" t="s">
        <v>43</v>
      </c>
      <c r="O310" s="106" t="s">
        <v>386</v>
      </c>
      <c r="P310" s="106" t="s">
        <v>866</v>
      </c>
      <c r="Q310" s="106" t="s">
        <v>818</v>
      </c>
      <c r="R310" s="106" t="s">
        <v>71</v>
      </c>
      <c r="S310" s="83" t="str">
        <f t="shared" si="30"/>
        <v>43870A-WHA</v>
      </c>
      <c r="T310" s="83" t="str">
        <f t="shared" si="31"/>
        <v>Chicago Whales Hepcat MILB</v>
      </c>
      <c r="Y310" s="60">
        <f t="shared" si="32"/>
        <v>6</v>
      </c>
      <c r="Z310" s="49">
        <f t="shared" si="33"/>
        <v>282</v>
      </c>
      <c r="AA310" s="60">
        <f t="shared" si="34"/>
        <v>6282</v>
      </c>
    </row>
    <row r="311" spans="1:27">
      <c r="A311" s="83" t="str">
        <f t="shared" si="28"/>
        <v>43870A-YOWnavy</v>
      </c>
      <c r="B311" s="83" t="str">
        <f t="shared" si="29"/>
        <v>06-283-16</v>
      </c>
      <c r="C311" s="106" t="s">
        <v>1870</v>
      </c>
      <c r="D311" s="106" t="s">
        <v>1871</v>
      </c>
      <c r="E311" s="106" t="s">
        <v>788</v>
      </c>
      <c r="F311" s="107">
        <v>0</v>
      </c>
      <c r="G311" s="106" t="s">
        <v>1872</v>
      </c>
      <c r="H311" s="106" t="s">
        <v>55</v>
      </c>
      <c r="I311" s="106" t="s">
        <v>786</v>
      </c>
      <c r="J311" s="106" t="s">
        <v>327</v>
      </c>
      <c r="K311" s="106" t="s">
        <v>382</v>
      </c>
      <c r="L311" s="106" t="s">
        <v>884</v>
      </c>
      <c r="M311" s="106" t="s">
        <v>388</v>
      </c>
      <c r="N311" s="106" t="s">
        <v>43</v>
      </c>
      <c r="O311" s="106" t="s">
        <v>386</v>
      </c>
      <c r="P311" s="106" t="s">
        <v>866</v>
      </c>
      <c r="Q311" s="106" t="s">
        <v>818</v>
      </c>
      <c r="R311" s="106" t="s">
        <v>71</v>
      </c>
      <c r="S311" s="83" t="str">
        <f t="shared" si="30"/>
        <v>43870A-YOW</v>
      </c>
      <c r="T311" s="83" t="str">
        <f t="shared" si="31"/>
        <v>Yokohama Whales Hepcat NLP</v>
      </c>
      <c r="Y311" s="60">
        <f t="shared" si="32"/>
        <v>6</v>
      </c>
      <c r="Z311" s="49">
        <f t="shared" si="33"/>
        <v>283</v>
      </c>
      <c r="AA311" s="60">
        <f t="shared" si="34"/>
        <v>6283</v>
      </c>
    </row>
    <row r="312" spans="1:27">
      <c r="A312" s="83" t="str">
        <f t="shared" si="28"/>
        <v>43877A-ASEnavy</v>
      </c>
      <c r="B312" s="83" t="str">
        <f t="shared" si="29"/>
        <v>06-284-16</v>
      </c>
      <c r="C312" s="106" t="s">
        <v>1873</v>
      </c>
      <c r="D312" s="106" t="s">
        <v>1874</v>
      </c>
      <c r="E312" s="106" t="s">
        <v>788</v>
      </c>
      <c r="F312" s="107">
        <v>0</v>
      </c>
      <c r="G312" s="106" t="s">
        <v>1875</v>
      </c>
      <c r="H312" s="106" t="s">
        <v>55</v>
      </c>
      <c r="I312" s="106" t="s">
        <v>786</v>
      </c>
      <c r="J312" s="106" t="s">
        <v>327</v>
      </c>
      <c r="K312" s="106" t="s">
        <v>382</v>
      </c>
      <c r="L312" s="106" t="s">
        <v>884</v>
      </c>
      <c r="M312" s="106" t="s">
        <v>388</v>
      </c>
      <c r="N312" s="106" t="s">
        <v>43</v>
      </c>
      <c r="O312" s="106" t="s">
        <v>386</v>
      </c>
      <c r="P312" s="106" t="s">
        <v>866</v>
      </c>
      <c r="Q312" s="106" t="s">
        <v>818</v>
      </c>
      <c r="R312" s="106" t="s">
        <v>71</v>
      </c>
      <c r="S312" s="83" t="str">
        <f t="shared" si="30"/>
        <v>43877A-ASE</v>
      </c>
      <c r="T312" s="83" t="str">
        <f t="shared" si="31"/>
        <v>Austin Senators Hepcat MILB</v>
      </c>
      <c r="Y312" s="60">
        <f t="shared" si="32"/>
        <v>6</v>
      </c>
      <c r="Z312" s="49">
        <f t="shared" si="33"/>
        <v>284</v>
      </c>
      <c r="AA312" s="60">
        <f t="shared" si="34"/>
        <v>6284</v>
      </c>
    </row>
    <row r="313" spans="1:27">
      <c r="A313" s="83" t="str">
        <f t="shared" si="28"/>
        <v>43877A-SERnavy</v>
      </c>
      <c r="B313" s="83" t="str">
        <f t="shared" si="29"/>
        <v>06-285-16</v>
      </c>
      <c r="C313" s="106" t="s">
        <v>1876</v>
      </c>
      <c r="D313" s="106" t="s">
        <v>1877</v>
      </c>
      <c r="E313" s="106" t="s">
        <v>788</v>
      </c>
      <c r="F313" s="107">
        <v>0</v>
      </c>
      <c r="G313" s="106" t="s">
        <v>1878</v>
      </c>
      <c r="H313" s="106" t="s">
        <v>55</v>
      </c>
      <c r="I313" s="106" t="s">
        <v>786</v>
      </c>
      <c r="J313" s="106" t="s">
        <v>327</v>
      </c>
      <c r="K313" s="106" t="s">
        <v>382</v>
      </c>
      <c r="L313" s="106" t="s">
        <v>884</v>
      </c>
      <c r="M313" s="106" t="s">
        <v>388</v>
      </c>
      <c r="N313" s="106" t="s">
        <v>43</v>
      </c>
      <c r="O313" s="106" t="s">
        <v>386</v>
      </c>
      <c r="P313" s="106" t="s">
        <v>866</v>
      </c>
      <c r="Q313" s="106" t="s">
        <v>818</v>
      </c>
      <c r="R313" s="106" t="s">
        <v>71</v>
      </c>
      <c r="S313" s="83" t="str">
        <f t="shared" si="30"/>
        <v>43877A-SER</v>
      </c>
      <c r="T313" s="83" t="str">
        <f t="shared" si="31"/>
        <v>Seattle Rainiers Hepcat MILB</v>
      </c>
      <c r="Y313" s="60">
        <f t="shared" si="32"/>
        <v>6</v>
      </c>
      <c r="Z313" s="49">
        <f t="shared" si="33"/>
        <v>285</v>
      </c>
      <c r="AA313" s="60">
        <f t="shared" si="34"/>
        <v>6285</v>
      </c>
    </row>
    <row r="314" spans="1:27">
      <c r="A314" s="83" t="str">
        <f t="shared" si="28"/>
        <v>43910A-CHGOnavy</v>
      </c>
      <c r="B314" s="83" t="str">
        <f t="shared" si="29"/>
        <v>06-286-16</v>
      </c>
      <c r="C314" s="106" t="s">
        <v>1879</v>
      </c>
      <c r="D314" s="106" t="s">
        <v>1880</v>
      </c>
      <c r="E314" s="106" t="s">
        <v>788</v>
      </c>
      <c r="F314" s="107">
        <v>0</v>
      </c>
      <c r="G314" s="106" t="s">
        <v>1881</v>
      </c>
      <c r="H314" s="106" t="s">
        <v>55</v>
      </c>
      <c r="I314" s="106" t="s">
        <v>786</v>
      </c>
      <c r="J314" s="106" t="s">
        <v>327</v>
      </c>
      <c r="K314" s="106" t="s">
        <v>382</v>
      </c>
      <c r="L314" s="106" t="s">
        <v>880</v>
      </c>
      <c r="M314" s="106" t="s">
        <v>388</v>
      </c>
      <c r="N314" s="106" t="s">
        <v>43</v>
      </c>
      <c r="O314" s="106" t="s">
        <v>386</v>
      </c>
      <c r="P314" s="106" t="s">
        <v>866</v>
      </c>
      <c r="Q314" s="106" t="s">
        <v>818</v>
      </c>
      <c r="R314" s="106" t="s">
        <v>71</v>
      </c>
      <c r="S314" s="83" t="str">
        <f t="shared" si="30"/>
        <v>43910A-CHGO</v>
      </c>
      <c r="T314" s="83" t="str">
        <f t="shared" si="31"/>
        <v>City of Chicago Iconic</v>
      </c>
      <c r="Y314" s="60">
        <f t="shared" si="32"/>
        <v>6</v>
      </c>
      <c r="Z314" s="49">
        <f t="shared" si="33"/>
        <v>286</v>
      </c>
      <c r="AA314" s="60">
        <f t="shared" si="34"/>
        <v>6286</v>
      </c>
    </row>
    <row r="315" spans="1:27">
      <c r="A315" s="83" t="str">
        <f t="shared" si="28"/>
        <v>43910A-CHGOwhite</v>
      </c>
      <c r="B315" s="83" t="str">
        <f t="shared" si="29"/>
        <v>06-286-17</v>
      </c>
      <c r="C315" s="106" t="s">
        <v>1882</v>
      </c>
      <c r="D315" s="106" t="s">
        <v>1883</v>
      </c>
      <c r="E315" s="106" t="s">
        <v>788</v>
      </c>
      <c r="F315" s="107">
        <v>0</v>
      </c>
      <c r="G315" s="106" t="s">
        <v>1881</v>
      </c>
      <c r="H315" s="106" t="s">
        <v>57</v>
      </c>
      <c r="I315" s="106" t="s">
        <v>786</v>
      </c>
      <c r="J315" s="106" t="s">
        <v>327</v>
      </c>
      <c r="K315" s="106" t="s">
        <v>382</v>
      </c>
      <c r="L315" s="106" t="s">
        <v>880</v>
      </c>
      <c r="M315" s="106" t="s">
        <v>388</v>
      </c>
      <c r="N315" s="106" t="s">
        <v>43</v>
      </c>
      <c r="O315" s="106" t="s">
        <v>386</v>
      </c>
      <c r="P315" s="106" t="s">
        <v>866</v>
      </c>
      <c r="Q315" s="106" t="s">
        <v>820</v>
      </c>
      <c r="R315" s="106" t="s">
        <v>57</v>
      </c>
      <c r="S315" s="83" t="str">
        <f t="shared" si="30"/>
        <v>43910A-CHGO</v>
      </c>
      <c r="T315" s="83" t="str">
        <f t="shared" si="31"/>
        <v>City of Chicago Iconic</v>
      </c>
      <c r="Y315" s="60">
        <f t="shared" si="32"/>
        <v>6</v>
      </c>
      <c r="Z315" s="49">
        <f t="shared" si="33"/>
        <v>286</v>
      </c>
      <c r="AA315" s="60">
        <f t="shared" si="34"/>
        <v>6286</v>
      </c>
    </row>
    <row r="316" spans="1:27">
      <c r="A316" s="83" t="str">
        <f t="shared" si="28"/>
        <v>43910A-GNPseafoam</v>
      </c>
      <c r="B316" s="83" t="str">
        <f t="shared" si="29"/>
        <v>06-287-19</v>
      </c>
      <c r="C316" s="106" t="s">
        <v>1884</v>
      </c>
      <c r="D316" s="106" t="s">
        <v>1885</v>
      </c>
      <c r="E316" s="106" t="s">
        <v>788</v>
      </c>
      <c r="F316" s="107">
        <v>0</v>
      </c>
      <c r="G316" s="106" t="s">
        <v>1886</v>
      </c>
      <c r="H316" s="106" t="s">
        <v>91</v>
      </c>
      <c r="I316" s="106" t="s">
        <v>786</v>
      </c>
      <c r="J316" s="106" t="s">
        <v>327</v>
      </c>
      <c r="K316" s="106" t="s">
        <v>382</v>
      </c>
      <c r="L316" s="106" t="s">
        <v>880</v>
      </c>
      <c r="M316" s="106" t="s">
        <v>388</v>
      </c>
      <c r="N316" s="106" t="s">
        <v>43</v>
      </c>
      <c r="O316" s="106" t="s">
        <v>386</v>
      </c>
      <c r="P316" s="106" t="s">
        <v>866</v>
      </c>
      <c r="Q316" s="106" t="s">
        <v>1372</v>
      </c>
      <c r="R316" s="106" t="s">
        <v>91</v>
      </c>
      <c r="S316" s="83" t="str">
        <f t="shared" si="30"/>
        <v>43910A-GNP</v>
      </c>
      <c r="T316" s="83" t="str">
        <f t="shared" si="31"/>
        <v>Glacier National Park Iconic</v>
      </c>
      <c r="Y316" s="60">
        <f t="shared" si="32"/>
        <v>6</v>
      </c>
      <c r="Z316" s="49">
        <f t="shared" si="33"/>
        <v>287</v>
      </c>
      <c r="AA316" s="60">
        <f t="shared" si="34"/>
        <v>6287</v>
      </c>
    </row>
    <row r="317" spans="1:27">
      <c r="A317" s="83" t="str">
        <f t="shared" si="28"/>
        <v>43910A-YONPgreen</v>
      </c>
      <c r="B317" s="83" t="str">
        <f t="shared" si="29"/>
        <v>06-288-07</v>
      </c>
      <c r="C317" s="106" t="s">
        <v>1887</v>
      </c>
      <c r="D317" s="106" t="s">
        <v>1888</v>
      </c>
      <c r="E317" s="106" t="s">
        <v>788</v>
      </c>
      <c r="F317" s="107">
        <v>0</v>
      </c>
      <c r="G317" s="106" t="s">
        <v>1889</v>
      </c>
      <c r="H317" s="106" t="s">
        <v>269</v>
      </c>
      <c r="I317" s="106" t="s">
        <v>786</v>
      </c>
      <c r="J317" s="106" t="s">
        <v>327</v>
      </c>
      <c r="K317" s="106" t="s">
        <v>382</v>
      </c>
      <c r="L317" s="106" t="s">
        <v>880</v>
      </c>
      <c r="M317" s="106" t="s">
        <v>388</v>
      </c>
      <c r="N317" s="106" t="s">
        <v>43</v>
      </c>
      <c r="O317" s="106" t="s">
        <v>386</v>
      </c>
      <c r="P317" s="106" t="s">
        <v>866</v>
      </c>
      <c r="Q317" s="106" t="s">
        <v>825</v>
      </c>
      <c r="R317" s="106" t="s">
        <v>60</v>
      </c>
      <c r="S317" s="83" t="str">
        <f t="shared" si="30"/>
        <v>43910A-YONP</v>
      </c>
      <c r="T317" s="83" t="str">
        <f t="shared" si="31"/>
        <v>Yosemite National Park Iconic</v>
      </c>
      <c r="Y317" s="60">
        <f t="shared" si="32"/>
        <v>6</v>
      </c>
      <c r="Z317" s="49">
        <f t="shared" si="33"/>
        <v>288</v>
      </c>
      <c r="AA317" s="60">
        <f t="shared" si="34"/>
        <v>6288</v>
      </c>
    </row>
    <row r="318" spans="1:27">
      <c r="A318" s="83" t="str">
        <f t="shared" si="28"/>
        <v>43912A-DRWred</v>
      </c>
      <c r="B318" s="83" t="str">
        <f t="shared" si="29"/>
        <v>06-289-18</v>
      </c>
      <c r="C318" s="106" t="s">
        <v>1890</v>
      </c>
      <c r="D318" s="106" t="s">
        <v>1891</v>
      </c>
      <c r="E318" s="106" t="s">
        <v>788</v>
      </c>
      <c r="F318" s="107">
        <v>0</v>
      </c>
      <c r="G318" s="106" t="s">
        <v>1892</v>
      </c>
      <c r="H318" s="106" t="s">
        <v>78</v>
      </c>
      <c r="I318" s="106" t="s">
        <v>786</v>
      </c>
      <c r="J318" s="106" t="s">
        <v>327</v>
      </c>
      <c r="K318" s="106" t="s">
        <v>382</v>
      </c>
      <c r="L318" s="106" t="s">
        <v>884</v>
      </c>
      <c r="M318" s="106" t="s">
        <v>388</v>
      </c>
      <c r="N318" s="106" t="s">
        <v>43</v>
      </c>
      <c r="O318" s="106" t="s">
        <v>386</v>
      </c>
      <c r="P318" s="106" t="s">
        <v>866</v>
      </c>
      <c r="Q318" s="106" t="s">
        <v>822</v>
      </c>
      <c r="R318" s="106" t="s">
        <v>78</v>
      </c>
      <c r="S318" s="83" t="str">
        <f t="shared" si="30"/>
        <v>43912A-DRW</v>
      </c>
      <c r="T318" s="83" t="str">
        <f t="shared" si="31"/>
        <v>Detroit Red Wings Iconic NHL</v>
      </c>
      <c r="Y318" s="60">
        <f t="shared" si="32"/>
        <v>6</v>
      </c>
      <c r="Z318" s="49">
        <f t="shared" si="33"/>
        <v>289</v>
      </c>
      <c r="AA318" s="60">
        <f t="shared" si="34"/>
        <v>6289</v>
      </c>
    </row>
    <row r="319" spans="1:27">
      <c r="A319" s="83" t="str">
        <f t="shared" si="28"/>
        <v>43912A-LAKblack</v>
      </c>
      <c r="B319" s="83" t="str">
        <f t="shared" si="29"/>
        <v>06-290-09</v>
      </c>
      <c r="C319" s="106" t="s">
        <v>1893</v>
      </c>
      <c r="D319" s="106" t="s">
        <v>1894</v>
      </c>
      <c r="E319" s="106" t="s">
        <v>788</v>
      </c>
      <c r="F319" s="107">
        <v>0</v>
      </c>
      <c r="G319" s="106" t="s">
        <v>1895</v>
      </c>
      <c r="H319" s="106" t="s">
        <v>53</v>
      </c>
      <c r="I319" s="106" t="s">
        <v>786</v>
      </c>
      <c r="J319" s="106" t="s">
        <v>327</v>
      </c>
      <c r="K319" s="106" t="s">
        <v>382</v>
      </c>
      <c r="L319" s="106" t="s">
        <v>884</v>
      </c>
      <c r="M319" s="106" t="s">
        <v>388</v>
      </c>
      <c r="N319" s="106" t="s">
        <v>43</v>
      </c>
      <c r="O319" s="106" t="s">
        <v>386</v>
      </c>
      <c r="P319" s="106" t="s">
        <v>866</v>
      </c>
      <c r="Q319" s="106" t="s">
        <v>819</v>
      </c>
      <c r="R319" s="106" t="s">
        <v>53</v>
      </c>
      <c r="S319" s="83" t="str">
        <f t="shared" si="30"/>
        <v>43912A-LAK</v>
      </c>
      <c r="T319" s="83" t="str">
        <f t="shared" si="31"/>
        <v>Los Angeles Kings Iconic NHL</v>
      </c>
      <c r="Y319" s="60">
        <f t="shared" si="32"/>
        <v>6</v>
      </c>
      <c r="Z319" s="49">
        <f t="shared" si="33"/>
        <v>290</v>
      </c>
      <c r="AA319" s="60">
        <f t="shared" si="34"/>
        <v>6290</v>
      </c>
    </row>
    <row r="320" spans="1:27">
      <c r="A320" s="83" t="str">
        <f t="shared" si="28"/>
        <v>43912A-NYRroyal</v>
      </c>
      <c r="B320" s="83" t="str">
        <f t="shared" si="29"/>
        <v>06-291-06</v>
      </c>
      <c r="C320" s="106" t="s">
        <v>1896</v>
      </c>
      <c r="D320" s="106" t="s">
        <v>1897</v>
      </c>
      <c r="E320" s="106" t="s">
        <v>788</v>
      </c>
      <c r="F320" s="107">
        <v>0</v>
      </c>
      <c r="G320" s="106" t="s">
        <v>1898</v>
      </c>
      <c r="H320" s="106" t="s">
        <v>71</v>
      </c>
      <c r="I320" s="106" t="s">
        <v>786</v>
      </c>
      <c r="J320" s="106" t="s">
        <v>327</v>
      </c>
      <c r="K320" s="106" t="s">
        <v>382</v>
      </c>
      <c r="L320" s="106" t="s">
        <v>884</v>
      </c>
      <c r="M320" s="106" t="s">
        <v>388</v>
      </c>
      <c r="N320" s="106" t="s">
        <v>43</v>
      </c>
      <c r="O320" s="106" t="s">
        <v>386</v>
      </c>
      <c r="P320" s="106" t="s">
        <v>866</v>
      </c>
      <c r="Q320" s="106" t="s">
        <v>1576</v>
      </c>
      <c r="R320" s="106" t="s">
        <v>71</v>
      </c>
      <c r="S320" s="83" t="str">
        <f t="shared" si="30"/>
        <v>43912A-NYR</v>
      </c>
      <c r="T320" s="83" t="str">
        <f t="shared" si="31"/>
        <v>New York Rangers Iconic NHL</v>
      </c>
      <c r="Y320" s="60">
        <f t="shared" si="32"/>
        <v>6</v>
      </c>
      <c r="Z320" s="49">
        <f t="shared" si="33"/>
        <v>291</v>
      </c>
      <c r="AA320" s="60">
        <f t="shared" si="34"/>
        <v>6291</v>
      </c>
    </row>
    <row r="321" spans="1:27">
      <c r="A321" s="83" t="str">
        <f t="shared" si="28"/>
        <v>43912A-VGKblack</v>
      </c>
      <c r="B321" s="83" t="str">
        <f t="shared" si="29"/>
        <v>06-292-09</v>
      </c>
      <c r="C321" s="106" t="s">
        <v>1899</v>
      </c>
      <c r="D321" s="106" t="s">
        <v>1900</v>
      </c>
      <c r="E321" s="106" t="s">
        <v>788</v>
      </c>
      <c r="F321" s="107">
        <v>0</v>
      </c>
      <c r="G321" s="106" t="s">
        <v>1901</v>
      </c>
      <c r="H321" s="106" t="s">
        <v>53</v>
      </c>
      <c r="I321" s="106" t="s">
        <v>786</v>
      </c>
      <c r="J321" s="106" t="s">
        <v>327</v>
      </c>
      <c r="K321" s="106" t="s">
        <v>382</v>
      </c>
      <c r="L321" s="106" t="s">
        <v>884</v>
      </c>
      <c r="M321" s="106" t="s">
        <v>388</v>
      </c>
      <c r="N321" s="106" t="s">
        <v>43</v>
      </c>
      <c r="O321" s="106" t="s">
        <v>386</v>
      </c>
      <c r="P321" s="106" t="s">
        <v>866</v>
      </c>
      <c r="Q321" s="106" t="s">
        <v>819</v>
      </c>
      <c r="R321" s="106" t="s">
        <v>53</v>
      </c>
      <c r="S321" s="83" t="str">
        <f t="shared" si="30"/>
        <v>43912A-VGK</v>
      </c>
      <c r="T321" s="83" t="str">
        <f t="shared" si="31"/>
        <v>Vegas Golden Knights Iconic NHL</v>
      </c>
      <c r="Y321" s="60">
        <f t="shared" si="32"/>
        <v>6</v>
      </c>
      <c r="Z321" s="49">
        <f t="shared" si="33"/>
        <v>292</v>
      </c>
      <c r="AA321" s="60">
        <f t="shared" si="34"/>
        <v>6292</v>
      </c>
    </row>
    <row r="322" spans="1:27">
      <c r="A322" s="83" t="str">
        <f t="shared" si="28"/>
        <v>43942A-LAKblack</v>
      </c>
      <c r="B322" s="83" t="str">
        <f t="shared" si="29"/>
        <v>06-293-09</v>
      </c>
      <c r="C322" s="106" t="s">
        <v>1902</v>
      </c>
      <c r="D322" s="106" t="s">
        <v>1903</v>
      </c>
      <c r="E322" s="106" t="s">
        <v>788</v>
      </c>
      <c r="F322" s="107">
        <v>0</v>
      </c>
      <c r="G322" s="106" t="s">
        <v>1904</v>
      </c>
      <c r="H322" s="106" t="s">
        <v>53</v>
      </c>
      <c r="I322" s="106" t="s">
        <v>786</v>
      </c>
      <c r="J322" s="106" t="s">
        <v>327</v>
      </c>
      <c r="K322" s="106" t="s">
        <v>382</v>
      </c>
      <c r="L322" s="106" t="s">
        <v>884</v>
      </c>
      <c r="M322" s="106" t="s">
        <v>388</v>
      </c>
      <c r="N322" s="106" t="s">
        <v>43</v>
      </c>
      <c r="O322" s="106" t="s">
        <v>386</v>
      </c>
      <c r="P322" s="106" t="s">
        <v>866</v>
      </c>
      <c r="Q322" s="106" t="s">
        <v>819</v>
      </c>
      <c r="R322" s="106" t="s">
        <v>53</v>
      </c>
      <c r="S322" s="83" t="str">
        <f t="shared" si="30"/>
        <v>43942A-LAK</v>
      </c>
      <c r="T322" s="83" t="str">
        <f t="shared" si="31"/>
        <v>Los Angeles Kings Elston NHL</v>
      </c>
      <c r="Y322" s="60">
        <f t="shared" si="32"/>
        <v>6</v>
      </c>
      <c r="Z322" s="49">
        <f t="shared" si="33"/>
        <v>293</v>
      </c>
      <c r="AA322" s="60">
        <f t="shared" si="34"/>
        <v>6293</v>
      </c>
    </row>
    <row r="323" spans="1:27">
      <c r="A323" s="83" t="str">
        <f t="shared" ref="A323:A386" si="35">IF(G323&amp;Q323&lt;&gt;"",S323&amp;Q323,"")</f>
        <v>43942A-NYRroyal</v>
      </c>
      <c r="B323" s="83" t="str">
        <f t="shared" ref="B323:B386" si="36">IF(C323&lt;&gt;"",LEFT(C323,9),"")</f>
        <v>06-294-06</v>
      </c>
      <c r="C323" s="106" t="s">
        <v>1905</v>
      </c>
      <c r="D323" s="106" t="s">
        <v>1906</v>
      </c>
      <c r="E323" s="106" t="s">
        <v>788</v>
      </c>
      <c r="F323" s="107">
        <v>0</v>
      </c>
      <c r="G323" s="106" t="s">
        <v>1907</v>
      </c>
      <c r="H323" s="106" t="s">
        <v>71</v>
      </c>
      <c r="I323" s="106" t="s">
        <v>786</v>
      </c>
      <c r="J323" s="106" t="s">
        <v>327</v>
      </c>
      <c r="K323" s="106" t="s">
        <v>382</v>
      </c>
      <c r="L323" s="106" t="s">
        <v>884</v>
      </c>
      <c r="M323" s="106" t="s">
        <v>388</v>
      </c>
      <c r="N323" s="106" t="s">
        <v>43</v>
      </c>
      <c r="O323" s="106" t="s">
        <v>386</v>
      </c>
      <c r="P323" s="106" t="s">
        <v>866</v>
      </c>
      <c r="Q323" s="106" t="s">
        <v>1576</v>
      </c>
      <c r="R323" s="106" t="s">
        <v>71</v>
      </c>
      <c r="S323" s="83" t="str">
        <f t="shared" ref="S323:S386" si="37">IF(G323&lt;&gt;"",IF(StyleSpaceSplit,IFERROR(IF(FIND(" ",G323)&gt;=1,MID(G323,1,FIND(" ",G323)-1),G323),G323),G323),"")</f>
        <v>43942A-NYR</v>
      </c>
      <c r="T323" s="83" t="str">
        <f t="shared" ref="T323:T386" si="38">IF(A323&lt;&gt;"",IFERROR(IF(FIND(" ",G323)&gt;=1,MID(G323,FIND(" ",G323)+1,LEN(G323)),""),G323),"")</f>
        <v>New York Rangers Elston NHL</v>
      </c>
      <c r="Y323" s="60">
        <f t="shared" ref="Y323:Y386" si="39">IFERROR(VALUE(MID($C323,1,2)),0)</f>
        <v>6</v>
      </c>
      <c r="Z323" s="49">
        <f t="shared" ref="Z323:Z386" si="40">IFERROR(VALUE(MID($C323,4,3)),0)</f>
        <v>294</v>
      </c>
      <c r="AA323" s="60">
        <f t="shared" ref="AA323:AA386" si="41">VALUE(RIGHT("00"&amp;Y323,2)&amp;RIGHT("000"&amp;Z323,3))</f>
        <v>6294</v>
      </c>
    </row>
    <row r="324" spans="1:27">
      <c r="A324" s="83" t="str">
        <f t="shared" si="35"/>
        <v>44612A-CBHblack-red</v>
      </c>
      <c r="B324" s="83" t="str">
        <f t="shared" si="36"/>
        <v>06-295-72</v>
      </c>
      <c r="C324" s="106" t="s">
        <v>1908</v>
      </c>
      <c r="D324" s="106" t="s">
        <v>1909</v>
      </c>
      <c r="E324" s="106" t="s">
        <v>788</v>
      </c>
      <c r="F324" s="107">
        <v>0</v>
      </c>
      <c r="G324" s="106" t="s">
        <v>1910</v>
      </c>
      <c r="H324" s="106" t="s">
        <v>302</v>
      </c>
      <c r="I324" s="106" t="s">
        <v>786</v>
      </c>
      <c r="J324" s="106" t="s">
        <v>356</v>
      </c>
      <c r="K324" s="106" t="s">
        <v>382</v>
      </c>
      <c r="L324" s="106" t="s">
        <v>884</v>
      </c>
      <c r="M324" s="106" t="s">
        <v>388</v>
      </c>
      <c r="N324" s="106" t="s">
        <v>43</v>
      </c>
      <c r="O324" s="106" t="s">
        <v>386</v>
      </c>
      <c r="P324" s="106" t="s">
        <v>866</v>
      </c>
      <c r="Q324" s="106" t="s">
        <v>1638</v>
      </c>
      <c r="R324" s="106" t="s">
        <v>53</v>
      </c>
      <c r="S324" s="83" t="str">
        <f t="shared" si="37"/>
        <v>44612A-CBH</v>
      </c>
      <c r="T324" s="83" t="str">
        <f t="shared" si="38"/>
        <v>Chicago Blackhawks Cross Fade NHL</v>
      </c>
      <c r="Y324" s="60">
        <f t="shared" si="39"/>
        <v>6</v>
      </c>
      <c r="Z324" s="49">
        <f t="shared" si="40"/>
        <v>295</v>
      </c>
      <c r="AA324" s="60">
        <f t="shared" si="41"/>
        <v>6295</v>
      </c>
    </row>
    <row r="325" spans="1:27">
      <c r="A325" s="83" t="str">
        <f t="shared" si="35"/>
        <v>44612A-NYRroyal-red</v>
      </c>
      <c r="B325" s="83" t="str">
        <f t="shared" si="36"/>
        <v>06-296-21</v>
      </c>
      <c r="C325" s="106" t="s">
        <v>1911</v>
      </c>
      <c r="D325" s="106" t="s">
        <v>1912</v>
      </c>
      <c r="E325" s="106" t="s">
        <v>788</v>
      </c>
      <c r="F325" s="107">
        <v>0</v>
      </c>
      <c r="G325" s="106" t="s">
        <v>1913</v>
      </c>
      <c r="H325" s="106" t="s">
        <v>252</v>
      </c>
      <c r="I325" s="106" t="s">
        <v>786</v>
      </c>
      <c r="J325" s="106" t="s">
        <v>356</v>
      </c>
      <c r="K325" s="106" t="s">
        <v>382</v>
      </c>
      <c r="L325" s="106" t="s">
        <v>884</v>
      </c>
      <c r="M325" s="106" t="s">
        <v>388</v>
      </c>
      <c r="N325" s="106" t="s">
        <v>43</v>
      </c>
      <c r="O325" s="106" t="s">
        <v>386</v>
      </c>
      <c r="P325" s="106" t="s">
        <v>866</v>
      </c>
      <c r="Q325" s="106" t="s">
        <v>1483</v>
      </c>
      <c r="R325" s="106" t="s">
        <v>71</v>
      </c>
      <c r="S325" s="83" t="str">
        <f t="shared" si="37"/>
        <v>44612A-NYR</v>
      </c>
      <c r="T325" s="83" t="str">
        <f t="shared" si="38"/>
        <v>New York Rangers Cross Fade NHL</v>
      </c>
      <c r="Y325" s="60">
        <f t="shared" si="39"/>
        <v>6</v>
      </c>
      <c r="Z325" s="49">
        <f t="shared" si="40"/>
        <v>296</v>
      </c>
      <c r="AA325" s="60">
        <f t="shared" si="41"/>
        <v>6296</v>
      </c>
    </row>
    <row r="326" spans="1:27">
      <c r="A326" s="83" t="str">
        <f t="shared" si="35"/>
        <v>44700A-TXivnv</v>
      </c>
      <c r="B326" s="83" t="str">
        <f t="shared" si="36"/>
        <v>06-297-60</v>
      </c>
      <c r="C326" s="106" t="s">
        <v>1914</v>
      </c>
      <c r="D326" s="106" t="s">
        <v>1915</v>
      </c>
      <c r="E326" s="106" t="s">
        <v>788</v>
      </c>
      <c r="F326" s="107">
        <v>0</v>
      </c>
      <c r="G326" s="106" t="s">
        <v>1916</v>
      </c>
      <c r="H326" s="106" t="s">
        <v>695</v>
      </c>
      <c r="I326" s="106" t="s">
        <v>786</v>
      </c>
      <c r="J326" s="106" t="s">
        <v>327</v>
      </c>
      <c r="K326" s="106" t="s">
        <v>382</v>
      </c>
      <c r="L326" s="106" t="s">
        <v>880</v>
      </c>
      <c r="M326" s="106" t="s">
        <v>388</v>
      </c>
      <c r="N326" s="106" t="s">
        <v>43</v>
      </c>
      <c r="O326" s="106" t="s">
        <v>541</v>
      </c>
      <c r="P326" s="106" t="s">
        <v>866</v>
      </c>
      <c r="Q326" s="106" t="s">
        <v>1917</v>
      </c>
      <c r="R326" s="106" t="s">
        <v>63</v>
      </c>
      <c r="S326" s="83" t="str">
        <f t="shared" si="37"/>
        <v>44700A-TX</v>
      </c>
      <c r="T326" s="83" t="str">
        <f t="shared" si="38"/>
        <v>Texas Micro Icon</v>
      </c>
      <c r="Y326" s="60">
        <f t="shared" si="39"/>
        <v>6</v>
      </c>
      <c r="Z326" s="49">
        <f t="shared" si="40"/>
        <v>297</v>
      </c>
      <c r="AA326" s="60">
        <f t="shared" si="41"/>
        <v>6297</v>
      </c>
    </row>
    <row r="327" spans="1:27">
      <c r="A327" s="83" t="str">
        <f t="shared" si="35"/>
        <v>44732A-VGKbkgld</v>
      </c>
      <c r="B327" s="83" t="str">
        <f t="shared" si="36"/>
        <v>06-298-70</v>
      </c>
      <c r="C327" s="106" t="s">
        <v>1918</v>
      </c>
      <c r="D327" s="106" t="s">
        <v>1919</v>
      </c>
      <c r="E327" s="106" t="s">
        <v>788</v>
      </c>
      <c r="F327" s="107">
        <v>0</v>
      </c>
      <c r="G327" s="106" t="s">
        <v>1920</v>
      </c>
      <c r="H327" s="106" t="s">
        <v>300</v>
      </c>
      <c r="I327" s="106" t="s">
        <v>1034</v>
      </c>
      <c r="J327" s="106" t="s">
        <v>356</v>
      </c>
      <c r="K327" s="106" t="s">
        <v>382</v>
      </c>
      <c r="L327" s="106" t="s">
        <v>884</v>
      </c>
      <c r="M327" s="106" t="s">
        <v>388</v>
      </c>
      <c r="N327" s="106" t="s">
        <v>43</v>
      </c>
      <c r="O327" s="106" t="s">
        <v>386</v>
      </c>
      <c r="P327" s="106" t="s">
        <v>866</v>
      </c>
      <c r="Q327" s="106" t="s">
        <v>1653</v>
      </c>
      <c r="R327" s="106" t="s">
        <v>53</v>
      </c>
      <c r="S327" s="83" t="str">
        <f t="shared" si="37"/>
        <v>44732A-VGK</v>
      </c>
      <c r="T327" s="83" t="str">
        <f t="shared" si="38"/>
        <v>Vegas Golden Knights Roughage NHL</v>
      </c>
      <c r="Y327" s="60">
        <f t="shared" si="39"/>
        <v>6</v>
      </c>
      <c r="Z327" s="49">
        <f t="shared" si="40"/>
        <v>298</v>
      </c>
      <c r="AA327" s="60">
        <f t="shared" si="41"/>
        <v>6298</v>
      </c>
    </row>
    <row r="328" spans="1:27">
      <c r="A328" s="83" t="str">
        <f t="shared" si="35"/>
        <v>44740A-CPLnavy</v>
      </c>
      <c r="B328" s="83" t="str">
        <f t="shared" si="36"/>
        <v>06-299-16</v>
      </c>
      <c r="C328" s="106" t="s">
        <v>1921</v>
      </c>
      <c r="D328" s="106" t="s">
        <v>1922</v>
      </c>
      <c r="E328" s="106" t="s">
        <v>788</v>
      </c>
      <c r="F328" s="107">
        <v>0</v>
      </c>
      <c r="G328" s="106" t="s">
        <v>1923</v>
      </c>
      <c r="H328" s="106" t="s">
        <v>55</v>
      </c>
      <c r="I328" s="106" t="s">
        <v>786</v>
      </c>
      <c r="J328" s="106" t="s">
        <v>327</v>
      </c>
      <c r="K328" s="106" t="s">
        <v>382</v>
      </c>
      <c r="L328" s="106" t="s">
        <v>884</v>
      </c>
      <c r="M328" s="106" t="s">
        <v>388</v>
      </c>
      <c r="N328" s="106" t="s">
        <v>43</v>
      </c>
      <c r="O328" s="106" t="s">
        <v>541</v>
      </c>
      <c r="P328" s="106" t="s">
        <v>866</v>
      </c>
      <c r="Q328" s="106" t="s">
        <v>818</v>
      </c>
      <c r="R328" s="106" t="s">
        <v>71</v>
      </c>
      <c r="S328" s="83" t="str">
        <f t="shared" si="37"/>
        <v>44740A-CPL</v>
      </c>
      <c r="T328" s="83" t="str">
        <f t="shared" si="38"/>
        <v>Cerveceria Polar Archive CABL</v>
      </c>
      <c r="Y328" s="60">
        <f t="shared" si="39"/>
        <v>6</v>
      </c>
      <c r="Z328" s="49">
        <f t="shared" si="40"/>
        <v>299</v>
      </c>
      <c r="AA328" s="60">
        <f t="shared" si="41"/>
        <v>6299</v>
      </c>
    </row>
    <row r="329" spans="1:27">
      <c r="A329" s="83" t="str">
        <f t="shared" si="35"/>
        <v>44740A-DUEivnv</v>
      </c>
      <c r="B329" s="83" t="str">
        <f t="shared" si="36"/>
        <v>06-300-70</v>
      </c>
      <c r="C329" s="106" t="s">
        <v>1924</v>
      </c>
      <c r="D329" s="106" t="s">
        <v>1925</v>
      </c>
      <c r="E329" s="106" t="s">
        <v>788</v>
      </c>
      <c r="F329" s="107">
        <v>0</v>
      </c>
      <c r="G329" s="106" t="s">
        <v>1926</v>
      </c>
      <c r="H329" s="106" t="s">
        <v>117</v>
      </c>
      <c r="I329" s="106" t="s">
        <v>786</v>
      </c>
      <c r="J329" s="106" t="s">
        <v>327</v>
      </c>
      <c r="K329" s="106" t="s">
        <v>382</v>
      </c>
      <c r="L329" s="106" t="s">
        <v>884</v>
      </c>
      <c r="M329" s="106" t="s">
        <v>388</v>
      </c>
      <c r="N329" s="106" t="s">
        <v>43</v>
      </c>
      <c r="O329" s="106" t="s">
        <v>541</v>
      </c>
      <c r="P329" s="106" t="s">
        <v>866</v>
      </c>
      <c r="Q329" s="106" t="s">
        <v>1917</v>
      </c>
      <c r="R329" s="106" t="s">
        <v>57</v>
      </c>
      <c r="S329" s="83" t="str">
        <f t="shared" si="37"/>
        <v>44740A-DUE</v>
      </c>
      <c r="T329" s="83" t="str">
        <f t="shared" si="38"/>
        <v>Duluth Eskimos Archive NFL</v>
      </c>
      <c r="Y329" s="60">
        <f t="shared" si="39"/>
        <v>6</v>
      </c>
      <c r="Z329" s="49">
        <f t="shared" si="40"/>
        <v>300</v>
      </c>
      <c r="AA329" s="60">
        <f t="shared" si="41"/>
        <v>6300</v>
      </c>
    </row>
    <row r="330" spans="1:27">
      <c r="A330" s="83" t="str">
        <f t="shared" si="35"/>
        <v>44740A-HTIblack</v>
      </c>
      <c r="B330" s="83" t="str">
        <f t="shared" si="36"/>
        <v>06-301-09</v>
      </c>
      <c r="C330" s="106" t="s">
        <v>1927</v>
      </c>
      <c r="D330" s="106" t="s">
        <v>1928</v>
      </c>
      <c r="E330" s="106" t="s">
        <v>788</v>
      </c>
      <c r="F330" s="107">
        <v>0</v>
      </c>
      <c r="G330" s="106" t="s">
        <v>1929</v>
      </c>
      <c r="H330" s="106" t="s">
        <v>53</v>
      </c>
      <c r="I330" s="106" t="s">
        <v>786</v>
      </c>
      <c r="J330" s="106" t="s">
        <v>327</v>
      </c>
      <c r="K330" s="106" t="s">
        <v>382</v>
      </c>
      <c r="L330" s="106" t="s">
        <v>884</v>
      </c>
      <c r="M330" s="106" t="s">
        <v>388</v>
      </c>
      <c r="N330" s="106" t="s">
        <v>43</v>
      </c>
      <c r="O330" s="106" t="s">
        <v>541</v>
      </c>
      <c r="P330" s="106" t="s">
        <v>866</v>
      </c>
      <c r="Q330" s="106" t="s">
        <v>819</v>
      </c>
      <c r="R330" s="106" t="s">
        <v>53</v>
      </c>
      <c r="S330" s="83" t="str">
        <f t="shared" si="37"/>
        <v>44740A-HTI</v>
      </c>
      <c r="T330" s="83" t="str">
        <f t="shared" si="38"/>
        <v>Hanshin Tigers Archive NPL</v>
      </c>
      <c r="Y330" s="60">
        <f t="shared" si="39"/>
        <v>6</v>
      </c>
      <c r="Z330" s="49">
        <f t="shared" si="40"/>
        <v>301</v>
      </c>
      <c r="AA330" s="60">
        <f t="shared" si="41"/>
        <v>6301</v>
      </c>
    </row>
    <row r="331" spans="1:27">
      <c r="A331" s="83" t="str">
        <f t="shared" si="35"/>
        <v>44740A-LABLblack</v>
      </c>
      <c r="B331" s="83" t="str">
        <f t="shared" si="36"/>
        <v>06-302-09</v>
      </c>
      <c r="C331" s="106" t="s">
        <v>1930</v>
      </c>
      <c r="D331" s="106" t="s">
        <v>1931</v>
      </c>
      <c r="E331" s="106" t="s">
        <v>788</v>
      </c>
      <c r="F331" s="107">
        <v>0</v>
      </c>
      <c r="G331" s="106" t="s">
        <v>1932</v>
      </c>
      <c r="H331" s="106" t="s">
        <v>53</v>
      </c>
      <c r="I331" s="106" t="s">
        <v>786</v>
      </c>
      <c r="J331" s="106" t="s">
        <v>327</v>
      </c>
      <c r="K331" s="106" t="s">
        <v>382</v>
      </c>
      <c r="L331" s="106" t="s">
        <v>884</v>
      </c>
      <c r="M331" s="106" t="s">
        <v>388</v>
      </c>
      <c r="N331" s="106" t="s">
        <v>43</v>
      </c>
      <c r="O331" s="106" t="s">
        <v>541</v>
      </c>
      <c r="P331" s="106" t="s">
        <v>866</v>
      </c>
      <c r="Q331" s="106" t="s">
        <v>819</v>
      </c>
      <c r="R331" s="106" t="s">
        <v>53</v>
      </c>
      <c r="S331" s="83" t="str">
        <f t="shared" si="37"/>
        <v>44740A-LABL</v>
      </c>
      <c r="T331" s="83" t="str">
        <f t="shared" si="38"/>
        <v>Los Angeles Blades Archive NHL</v>
      </c>
      <c r="Y331" s="60">
        <f t="shared" si="39"/>
        <v>6</v>
      </c>
      <c r="Z331" s="49">
        <f t="shared" si="40"/>
        <v>302</v>
      </c>
      <c r="AA331" s="60">
        <f t="shared" si="41"/>
        <v>6302</v>
      </c>
    </row>
    <row r="332" spans="1:27">
      <c r="A332" s="83" t="str">
        <f t="shared" si="35"/>
        <v>44740A-LOSnavy</v>
      </c>
      <c r="B332" s="83" t="str">
        <f t="shared" si="36"/>
        <v>06-303-16</v>
      </c>
      <c r="C332" s="106" t="s">
        <v>1933</v>
      </c>
      <c r="D332" s="106" t="s">
        <v>1934</v>
      </c>
      <c r="E332" s="106" t="s">
        <v>788</v>
      </c>
      <c r="F332" s="107">
        <v>0</v>
      </c>
      <c r="G332" s="106" t="s">
        <v>1935</v>
      </c>
      <c r="H332" s="106" t="s">
        <v>55</v>
      </c>
      <c r="I332" s="106" t="s">
        <v>786</v>
      </c>
      <c r="J332" s="106" t="s">
        <v>327</v>
      </c>
      <c r="K332" s="106" t="s">
        <v>382</v>
      </c>
      <c r="L332" s="106" t="s">
        <v>884</v>
      </c>
      <c r="M332" s="106" t="s">
        <v>388</v>
      </c>
      <c r="N332" s="106" t="s">
        <v>43</v>
      </c>
      <c r="O332" s="106" t="s">
        <v>541</v>
      </c>
      <c r="P332" s="106" t="s">
        <v>866</v>
      </c>
      <c r="Q332" s="106" t="s">
        <v>818</v>
      </c>
      <c r="R332" s="106" t="s">
        <v>71</v>
      </c>
      <c r="S332" s="83" t="str">
        <f t="shared" si="37"/>
        <v>44740A-LOS</v>
      </c>
      <c r="T332" s="83" t="str">
        <f t="shared" si="38"/>
        <v>Los Angeles Angels Archive MILB</v>
      </c>
      <c r="Y332" s="60">
        <f t="shared" si="39"/>
        <v>6</v>
      </c>
      <c r="Z332" s="49">
        <f t="shared" si="40"/>
        <v>303</v>
      </c>
      <c r="AA332" s="60">
        <f t="shared" si="41"/>
        <v>6303</v>
      </c>
    </row>
    <row r="333" spans="1:27">
      <c r="A333" s="83" t="str">
        <f t="shared" si="35"/>
        <v>44740A-STEstnv</v>
      </c>
      <c r="B333" s="83" t="str">
        <f t="shared" si="36"/>
        <v>06-304-39</v>
      </c>
      <c r="C333" s="106" t="s">
        <v>1936</v>
      </c>
      <c r="D333" s="106" t="s">
        <v>1937</v>
      </c>
      <c r="E333" s="106" t="s">
        <v>788</v>
      </c>
      <c r="F333" s="107">
        <v>0</v>
      </c>
      <c r="G333" s="106" t="s">
        <v>1938</v>
      </c>
      <c r="H333" s="106" t="s">
        <v>695</v>
      </c>
      <c r="I333" s="106" t="s">
        <v>786</v>
      </c>
      <c r="J333" s="106" t="s">
        <v>327</v>
      </c>
      <c r="K333" s="106" t="s">
        <v>382</v>
      </c>
      <c r="L333" s="106" t="s">
        <v>884</v>
      </c>
      <c r="M333" s="106" t="s">
        <v>388</v>
      </c>
      <c r="N333" s="106" t="s">
        <v>43</v>
      </c>
      <c r="O333" s="106" t="s">
        <v>541</v>
      </c>
      <c r="P333" s="106" t="s">
        <v>866</v>
      </c>
      <c r="Q333" s="106" t="s">
        <v>1108</v>
      </c>
      <c r="R333" s="106" t="s">
        <v>63</v>
      </c>
      <c r="S333" s="83" t="str">
        <f t="shared" si="37"/>
        <v>44740A-STE</v>
      </c>
      <c r="T333" s="83" t="str">
        <f t="shared" si="38"/>
        <v>Saint Louis Terriers Archive MILB</v>
      </c>
      <c r="Y333" s="60">
        <f t="shared" si="39"/>
        <v>6</v>
      </c>
      <c r="Z333" s="49">
        <f t="shared" si="40"/>
        <v>304</v>
      </c>
      <c r="AA333" s="60">
        <f t="shared" si="41"/>
        <v>6304</v>
      </c>
    </row>
    <row r="334" spans="1:27">
      <c r="A334" s="83" t="str">
        <f t="shared" si="35"/>
        <v>44740A-YOGblack</v>
      </c>
      <c r="B334" s="83" t="str">
        <f t="shared" si="36"/>
        <v>06-305-09</v>
      </c>
      <c r="C334" s="106" t="s">
        <v>1939</v>
      </c>
      <c r="D334" s="106" t="s">
        <v>1940</v>
      </c>
      <c r="E334" s="106" t="s">
        <v>788</v>
      </c>
      <c r="F334" s="107">
        <v>0</v>
      </c>
      <c r="G334" s="106" t="s">
        <v>1941</v>
      </c>
      <c r="H334" s="106" t="s">
        <v>53</v>
      </c>
      <c r="I334" s="106" t="s">
        <v>786</v>
      </c>
      <c r="J334" s="106" t="s">
        <v>327</v>
      </c>
      <c r="K334" s="106" t="s">
        <v>382</v>
      </c>
      <c r="L334" s="106" t="s">
        <v>884</v>
      </c>
      <c r="M334" s="106" t="s">
        <v>388</v>
      </c>
      <c r="N334" s="106" t="s">
        <v>43</v>
      </c>
      <c r="O334" s="106" t="s">
        <v>541</v>
      </c>
      <c r="P334" s="106" t="s">
        <v>866</v>
      </c>
      <c r="Q334" s="106" t="s">
        <v>819</v>
      </c>
      <c r="R334" s="106" t="s">
        <v>53</v>
      </c>
      <c r="S334" s="83" t="str">
        <f t="shared" si="37"/>
        <v>44740A-YOG</v>
      </c>
      <c r="T334" s="83" t="str">
        <f t="shared" si="38"/>
        <v>Yomiuri Giants Archive NPL</v>
      </c>
      <c r="Y334" s="60">
        <f t="shared" si="39"/>
        <v>6</v>
      </c>
      <c r="Z334" s="49">
        <f t="shared" si="40"/>
        <v>305</v>
      </c>
      <c r="AA334" s="60">
        <f t="shared" si="41"/>
        <v>6305</v>
      </c>
    </row>
    <row r="335" spans="1:27">
      <c r="A335" s="83" t="str">
        <f t="shared" si="35"/>
        <v>44747A-BBBbkrd</v>
      </c>
      <c r="B335" s="83" t="str">
        <f t="shared" si="36"/>
        <v>06-306-72</v>
      </c>
      <c r="C335" s="106" t="s">
        <v>1942</v>
      </c>
      <c r="D335" s="106" t="s">
        <v>1943</v>
      </c>
      <c r="E335" s="106" t="s">
        <v>788</v>
      </c>
      <c r="F335" s="107">
        <v>0</v>
      </c>
      <c r="G335" s="106" t="s">
        <v>1944</v>
      </c>
      <c r="H335" s="106" t="s">
        <v>302</v>
      </c>
      <c r="I335" s="106" t="s">
        <v>786</v>
      </c>
      <c r="J335" s="106" t="s">
        <v>327</v>
      </c>
      <c r="K335" s="106" t="s">
        <v>382</v>
      </c>
      <c r="L335" s="106" t="s">
        <v>884</v>
      </c>
      <c r="M335" s="106" t="s">
        <v>388</v>
      </c>
      <c r="N335" s="106" t="s">
        <v>43</v>
      </c>
      <c r="O335" s="106" t="s">
        <v>541</v>
      </c>
      <c r="P335" s="106" t="s">
        <v>866</v>
      </c>
      <c r="Q335" s="106" t="s">
        <v>1945</v>
      </c>
      <c r="R335" s="106" t="s">
        <v>53</v>
      </c>
      <c r="S335" s="83" t="str">
        <f t="shared" si="37"/>
        <v>44747A-BBB</v>
      </c>
      <c r="T335" s="83" t="str">
        <f t="shared" si="38"/>
        <v>Birmingham Black Barons Archive NL</v>
      </c>
      <c r="Y335" s="60">
        <f t="shared" si="39"/>
        <v>6</v>
      </c>
      <c r="Z335" s="49">
        <f t="shared" si="40"/>
        <v>306</v>
      </c>
      <c r="AA335" s="60">
        <f t="shared" si="41"/>
        <v>6306</v>
      </c>
    </row>
    <row r="336" spans="1:27">
      <c r="A336" s="83" t="str">
        <f t="shared" si="35"/>
        <v>44747A-DECgrbk</v>
      </c>
      <c r="B336" s="83" t="str">
        <f t="shared" si="36"/>
        <v>06-307-10</v>
      </c>
      <c r="C336" s="106" t="s">
        <v>1946</v>
      </c>
      <c r="D336" s="106" t="s">
        <v>1947</v>
      </c>
      <c r="E336" s="106" t="s">
        <v>788</v>
      </c>
      <c r="F336" s="107">
        <v>0</v>
      </c>
      <c r="G336" s="106" t="s">
        <v>1948</v>
      </c>
      <c r="H336" s="106" t="s">
        <v>246</v>
      </c>
      <c r="I336" s="106" t="s">
        <v>786</v>
      </c>
      <c r="J336" s="106" t="s">
        <v>327</v>
      </c>
      <c r="K336" s="106" t="s">
        <v>382</v>
      </c>
      <c r="L336" s="106" t="s">
        <v>884</v>
      </c>
      <c r="M336" s="106" t="s">
        <v>388</v>
      </c>
      <c r="N336" s="106" t="s">
        <v>43</v>
      </c>
      <c r="O336" s="106" t="s">
        <v>541</v>
      </c>
      <c r="P336" s="106" t="s">
        <v>866</v>
      </c>
      <c r="Q336" s="106" t="s">
        <v>1949</v>
      </c>
      <c r="R336" s="106" t="s">
        <v>83</v>
      </c>
      <c r="S336" s="83" t="str">
        <f t="shared" si="37"/>
        <v>44747A-DEC</v>
      </c>
      <c r="T336" s="83" t="str">
        <f t="shared" si="38"/>
        <v>Detroit Cubs Archive NL</v>
      </c>
      <c r="Y336" s="60">
        <f t="shared" si="39"/>
        <v>6</v>
      </c>
      <c r="Z336" s="49">
        <f t="shared" si="40"/>
        <v>307</v>
      </c>
      <c r="AA336" s="60">
        <f t="shared" si="41"/>
        <v>6307</v>
      </c>
    </row>
    <row r="337" spans="1:27">
      <c r="A337" s="83" t="str">
        <f t="shared" si="35"/>
        <v>44747A-DUBroyal</v>
      </c>
      <c r="B337" s="83" t="str">
        <f t="shared" si="36"/>
        <v>06-308-06</v>
      </c>
      <c r="C337" s="106" t="s">
        <v>1950</v>
      </c>
      <c r="D337" s="106" t="s">
        <v>1951</v>
      </c>
      <c r="E337" s="106" t="s">
        <v>788</v>
      </c>
      <c r="F337" s="107">
        <v>0</v>
      </c>
      <c r="G337" s="106" t="s">
        <v>1952</v>
      </c>
      <c r="H337" s="106" t="s">
        <v>71</v>
      </c>
      <c r="I337" s="106" t="s">
        <v>786</v>
      </c>
      <c r="J337" s="106" t="s">
        <v>327</v>
      </c>
      <c r="K337" s="106" t="s">
        <v>382</v>
      </c>
      <c r="L337" s="106" t="s">
        <v>884</v>
      </c>
      <c r="M337" s="106" t="s">
        <v>388</v>
      </c>
      <c r="N337" s="106" t="s">
        <v>43</v>
      </c>
      <c r="O337" s="106" t="s">
        <v>541</v>
      </c>
      <c r="P337" s="106" t="s">
        <v>866</v>
      </c>
      <c r="Q337" s="106" t="s">
        <v>1576</v>
      </c>
      <c r="R337" s="106" t="s">
        <v>71</v>
      </c>
      <c r="S337" s="83" t="str">
        <f t="shared" si="37"/>
        <v>44747A-DUB</v>
      </c>
      <c r="T337" s="83" t="str">
        <f t="shared" si="38"/>
        <v>Durham Bulls Archive MILB</v>
      </c>
      <c r="Y337" s="60">
        <f t="shared" si="39"/>
        <v>6</v>
      </c>
      <c r="Z337" s="49">
        <f t="shared" si="40"/>
        <v>308</v>
      </c>
      <c r="AA337" s="60">
        <f t="shared" si="41"/>
        <v>6308</v>
      </c>
    </row>
    <row r="338" spans="1:27">
      <c r="A338" s="83" t="str">
        <f t="shared" si="35"/>
        <v>44747A-HOSgrey-navy</v>
      </c>
      <c r="B338" s="83" t="str">
        <f t="shared" si="36"/>
        <v>06-309-55</v>
      </c>
      <c r="C338" s="106" t="s">
        <v>1953</v>
      </c>
      <c r="D338" s="106" t="s">
        <v>1954</v>
      </c>
      <c r="E338" s="106" t="s">
        <v>788</v>
      </c>
      <c r="F338" s="107">
        <v>0</v>
      </c>
      <c r="G338" s="106" t="s">
        <v>1955</v>
      </c>
      <c r="H338" s="106" t="s">
        <v>696</v>
      </c>
      <c r="I338" s="106" t="s">
        <v>786</v>
      </c>
      <c r="J338" s="106" t="s">
        <v>327</v>
      </c>
      <c r="K338" s="106" t="s">
        <v>382</v>
      </c>
      <c r="L338" s="106" t="s">
        <v>884</v>
      </c>
      <c r="M338" s="106" t="s">
        <v>388</v>
      </c>
      <c r="N338" s="106" t="s">
        <v>43</v>
      </c>
      <c r="O338" s="106" t="s">
        <v>541</v>
      </c>
      <c r="P338" s="106" t="s">
        <v>866</v>
      </c>
      <c r="Q338" s="106" t="s">
        <v>1956</v>
      </c>
      <c r="R338" s="106" t="s">
        <v>83</v>
      </c>
      <c r="S338" s="83" t="str">
        <f t="shared" si="37"/>
        <v>44747A-HOS</v>
      </c>
      <c r="T338" s="83" t="str">
        <f t="shared" si="38"/>
        <v>Hollywood Stars Archive MILB</v>
      </c>
      <c r="Y338" s="60">
        <f t="shared" si="39"/>
        <v>6</v>
      </c>
      <c r="Z338" s="49">
        <f t="shared" si="40"/>
        <v>309</v>
      </c>
      <c r="AA338" s="60">
        <f t="shared" si="41"/>
        <v>6309</v>
      </c>
    </row>
    <row r="339" spans="1:27">
      <c r="A339" s="83" t="str">
        <f t="shared" si="35"/>
        <v>44747A-KCANdark red</v>
      </c>
      <c r="B339" s="83" t="str">
        <f t="shared" si="36"/>
        <v>06-310-18</v>
      </c>
      <c r="C339" s="106" t="s">
        <v>1957</v>
      </c>
      <c r="D339" s="106" t="s">
        <v>1958</v>
      </c>
      <c r="E339" s="106" t="s">
        <v>788</v>
      </c>
      <c r="F339" s="107">
        <v>0</v>
      </c>
      <c r="G339" s="106" t="s">
        <v>1959</v>
      </c>
      <c r="H339" s="106" t="s">
        <v>274</v>
      </c>
      <c r="I339" s="106" t="s">
        <v>786</v>
      </c>
      <c r="J339" s="106" t="s">
        <v>327</v>
      </c>
      <c r="K339" s="106" t="s">
        <v>382</v>
      </c>
      <c r="L339" s="106" t="s">
        <v>884</v>
      </c>
      <c r="M339" s="106" t="s">
        <v>388</v>
      </c>
      <c r="N339" s="106" t="s">
        <v>43</v>
      </c>
      <c r="O339" s="106" t="s">
        <v>541</v>
      </c>
      <c r="P339" s="106" t="s">
        <v>866</v>
      </c>
      <c r="Q339" s="106" t="s">
        <v>1536</v>
      </c>
      <c r="R339" s="106" t="s">
        <v>78</v>
      </c>
      <c r="S339" s="83" t="str">
        <f t="shared" si="37"/>
        <v>44747A-KCAN</v>
      </c>
      <c r="T339" s="83" t="str">
        <f t="shared" si="38"/>
        <v>Kansas City All Nations Archive IBL</v>
      </c>
      <c r="Y339" s="60">
        <f t="shared" si="39"/>
        <v>6</v>
      </c>
      <c r="Z339" s="49">
        <f t="shared" si="40"/>
        <v>310</v>
      </c>
      <c r="AA339" s="60">
        <f t="shared" si="41"/>
        <v>6310</v>
      </c>
    </row>
    <row r="340" spans="1:27">
      <c r="A340" s="83" t="str">
        <f t="shared" si="35"/>
        <v>44747A-MILBnavy</v>
      </c>
      <c r="B340" s="83" t="str">
        <f t="shared" si="36"/>
        <v>06-311-16</v>
      </c>
      <c r="C340" s="106" t="s">
        <v>1960</v>
      </c>
      <c r="D340" s="106" t="s">
        <v>1961</v>
      </c>
      <c r="E340" s="106" t="s">
        <v>788</v>
      </c>
      <c r="F340" s="107">
        <v>0</v>
      </c>
      <c r="G340" s="106" t="s">
        <v>1962</v>
      </c>
      <c r="H340" s="106" t="s">
        <v>55</v>
      </c>
      <c r="I340" s="106" t="s">
        <v>786</v>
      </c>
      <c r="J340" s="106" t="s">
        <v>327</v>
      </c>
      <c r="K340" s="106" t="s">
        <v>382</v>
      </c>
      <c r="L340" s="106" t="s">
        <v>884</v>
      </c>
      <c r="M340" s="106" t="s">
        <v>388</v>
      </c>
      <c r="N340" s="106" t="s">
        <v>43</v>
      </c>
      <c r="O340" s="106" t="s">
        <v>541</v>
      </c>
      <c r="P340" s="106" t="s">
        <v>866</v>
      </c>
      <c r="Q340" s="106" t="s">
        <v>818</v>
      </c>
      <c r="R340" s="106" t="s">
        <v>71</v>
      </c>
      <c r="S340" s="83" t="str">
        <f t="shared" si="37"/>
        <v>44747A-MILB</v>
      </c>
      <c r="T340" s="83" t="str">
        <f t="shared" si="38"/>
        <v>Minor League Baseball Archive MILB</v>
      </c>
      <c r="Y340" s="60">
        <f t="shared" si="39"/>
        <v>6</v>
      </c>
      <c r="Z340" s="49">
        <f t="shared" si="40"/>
        <v>311</v>
      </c>
      <c r="AA340" s="60">
        <f t="shared" si="41"/>
        <v>6311</v>
      </c>
    </row>
    <row r="341" spans="1:27">
      <c r="A341" s="83" t="str">
        <f t="shared" si="35"/>
        <v>44747A-MOUnvor</v>
      </c>
      <c r="B341" s="83" t="str">
        <f t="shared" si="36"/>
        <v>06-312-91</v>
      </c>
      <c r="C341" s="106" t="s">
        <v>1963</v>
      </c>
      <c r="D341" s="106" t="s">
        <v>1964</v>
      </c>
      <c r="E341" s="106" t="s">
        <v>788</v>
      </c>
      <c r="F341" s="107">
        <v>0</v>
      </c>
      <c r="G341" s="106" t="s">
        <v>1965</v>
      </c>
      <c r="H341" s="106" t="s">
        <v>282</v>
      </c>
      <c r="I341" s="106" t="s">
        <v>786</v>
      </c>
      <c r="J341" s="106" t="s">
        <v>327</v>
      </c>
      <c r="K341" s="106" t="s">
        <v>382</v>
      </c>
      <c r="L341" s="106" t="s">
        <v>884</v>
      </c>
      <c r="M341" s="106" t="s">
        <v>388</v>
      </c>
      <c r="N341" s="106" t="s">
        <v>43</v>
      </c>
      <c r="O341" s="106" t="s">
        <v>541</v>
      </c>
      <c r="P341" s="106" t="s">
        <v>866</v>
      </c>
      <c r="Q341" s="106" t="s">
        <v>1100</v>
      </c>
      <c r="R341" s="106" t="s">
        <v>71</v>
      </c>
      <c r="S341" s="83" t="str">
        <f t="shared" si="37"/>
        <v>44747A-MOU</v>
      </c>
      <c r="T341" s="83" t="str">
        <f t="shared" si="38"/>
        <v>Moultrie Colt .22s Archive MILB</v>
      </c>
      <c r="Y341" s="60">
        <f t="shared" si="39"/>
        <v>6</v>
      </c>
      <c r="Z341" s="49">
        <f t="shared" si="40"/>
        <v>312</v>
      </c>
      <c r="AA341" s="60">
        <f t="shared" si="41"/>
        <v>6312</v>
      </c>
    </row>
    <row r="342" spans="1:27">
      <c r="A342" s="83" t="str">
        <f t="shared" si="35"/>
        <v>44747A-NBHOFblack</v>
      </c>
      <c r="B342" s="83" t="str">
        <f t="shared" si="36"/>
        <v>06-313-09</v>
      </c>
      <c r="C342" s="106" t="s">
        <v>1966</v>
      </c>
      <c r="D342" s="106" t="s">
        <v>1967</v>
      </c>
      <c r="E342" s="106" t="s">
        <v>788</v>
      </c>
      <c r="F342" s="107">
        <v>0</v>
      </c>
      <c r="G342" s="106" t="s">
        <v>1968</v>
      </c>
      <c r="H342" s="106" t="s">
        <v>53</v>
      </c>
      <c r="I342" s="106" t="s">
        <v>786</v>
      </c>
      <c r="J342" s="106" t="s">
        <v>327</v>
      </c>
      <c r="K342" s="106" t="s">
        <v>382</v>
      </c>
      <c r="L342" s="106" t="s">
        <v>884</v>
      </c>
      <c r="M342" s="106" t="s">
        <v>388</v>
      </c>
      <c r="N342" s="106" t="s">
        <v>43</v>
      </c>
      <c r="O342" s="106" t="s">
        <v>541</v>
      </c>
      <c r="P342" s="106" t="s">
        <v>866</v>
      </c>
      <c r="Q342" s="106" t="s">
        <v>819</v>
      </c>
      <c r="R342" s="106" t="s">
        <v>53</v>
      </c>
      <c r="S342" s="83" t="str">
        <f t="shared" si="37"/>
        <v>44747A-NBHOF</v>
      </c>
      <c r="T342" s="83" t="str">
        <f t="shared" si="38"/>
        <v>National Baseball Hall of Fame MILB</v>
      </c>
      <c r="Y342" s="60">
        <f t="shared" si="39"/>
        <v>6</v>
      </c>
      <c r="Z342" s="49">
        <f t="shared" si="40"/>
        <v>313</v>
      </c>
      <c r="AA342" s="60">
        <f t="shared" si="41"/>
        <v>6313</v>
      </c>
    </row>
    <row r="343" spans="1:27">
      <c r="A343" s="83" t="str">
        <f t="shared" si="35"/>
        <v>44747A-SAFnavy</v>
      </c>
      <c r="B343" s="83" t="str">
        <f t="shared" si="36"/>
        <v>06-314-16</v>
      </c>
      <c r="C343" s="106" t="s">
        <v>1969</v>
      </c>
      <c r="D343" s="106" t="s">
        <v>1970</v>
      </c>
      <c r="E343" s="106" t="s">
        <v>788</v>
      </c>
      <c r="F343" s="107">
        <v>0</v>
      </c>
      <c r="G343" s="106" t="s">
        <v>1971</v>
      </c>
      <c r="H343" s="106" t="s">
        <v>55</v>
      </c>
      <c r="I343" s="106" t="s">
        <v>786</v>
      </c>
      <c r="J343" s="106" t="s">
        <v>327</v>
      </c>
      <c r="K343" s="106" t="s">
        <v>382</v>
      </c>
      <c r="L343" s="106" t="s">
        <v>884</v>
      </c>
      <c r="M343" s="106" t="s">
        <v>388</v>
      </c>
      <c r="N343" s="106" t="s">
        <v>43</v>
      </c>
      <c r="O343" s="106" t="s">
        <v>541</v>
      </c>
      <c r="P343" s="106" t="s">
        <v>866</v>
      </c>
      <c r="Q343" s="106" t="s">
        <v>818</v>
      </c>
      <c r="R343" s="106" t="s">
        <v>71</v>
      </c>
      <c r="S343" s="83" t="str">
        <f t="shared" si="37"/>
        <v>44747A-SAF</v>
      </c>
      <c r="T343" s="83" t="str">
        <f t="shared" si="38"/>
        <v>San Francisco Seals Archive MILB</v>
      </c>
      <c r="Y343" s="60">
        <f t="shared" si="39"/>
        <v>6</v>
      </c>
      <c r="Z343" s="49">
        <f t="shared" si="40"/>
        <v>314</v>
      </c>
      <c r="AA343" s="60">
        <f t="shared" si="41"/>
        <v>6314</v>
      </c>
    </row>
    <row r="344" spans="1:27">
      <c r="A344" s="83" t="str">
        <f t="shared" si="35"/>
        <v>44747A-SERnavy</v>
      </c>
      <c r="B344" s="83" t="str">
        <f t="shared" si="36"/>
        <v>06-315-16</v>
      </c>
      <c r="C344" s="106" t="s">
        <v>1972</v>
      </c>
      <c r="D344" s="106" t="s">
        <v>1973</v>
      </c>
      <c r="E344" s="106" t="s">
        <v>788</v>
      </c>
      <c r="F344" s="107">
        <v>0</v>
      </c>
      <c r="G344" s="106" t="s">
        <v>1974</v>
      </c>
      <c r="H344" s="106" t="s">
        <v>55</v>
      </c>
      <c r="I344" s="106" t="s">
        <v>786</v>
      </c>
      <c r="J344" s="106" t="s">
        <v>327</v>
      </c>
      <c r="K344" s="106" t="s">
        <v>382</v>
      </c>
      <c r="L344" s="106" t="s">
        <v>884</v>
      </c>
      <c r="M344" s="106" t="s">
        <v>388</v>
      </c>
      <c r="N344" s="106" t="s">
        <v>43</v>
      </c>
      <c r="O344" s="106" t="s">
        <v>541</v>
      </c>
      <c r="P344" s="106" t="s">
        <v>866</v>
      </c>
      <c r="Q344" s="106" t="s">
        <v>818</v>
      </c>
      <c r="R344" s="106" t="s">
        <v>71</v>
      </c>
      <c r="S344" s="83" t="str">
        <f t="shared" si="37"/>
        <v>44747A-SER</v>
      </c>
      <c r="T344" s="83" t="str">
        <f t="shared" si="38"/>
        <v>Seattle Rainiers Archive MILB</v>
      </c>
      <c r="Y344" s="60">
        <f t="shared" si="39"/>
        <v>6</v>
      </c>
      <c r="Z344" s="49">
        <f t="shared" si="40"/>
        <v>315</v>
      </c>
      <c r="AA344" s="60">
        <f t="shared" si="41"/>
        <v>6315</v>
      </c>
    </row>
    <row r="345" spans="1:27">
      <c r="A345" s="83" t="str">
        <f t="shared" si="35"/>
        <v>44747A-SLSroyal</v>
      </c>
      <c r="B345" s="83" t="str">
        <f t="shared" si="36"/>
        <v>06-316-06</v>
      </c>
      <c r="C345" s="106" t="s">
        <v>1975</v>
      </c>
      <c r="D345" s="106" t="s">
        <v>1976</v>
      </c>
      <c r="E345" s="106" t="s">
        <v>788</v>
      </c>
      <c r="F345" s="107">
        <v>0</v>
      </c>
      <c r="G345" s="106" t="s">
        <v>1977</v>
      </c>
      <c r="H345" s="106" t="s">
        <v>71</v>
      </c>
      <c r="I345" s="106" t="s">
        <v>786</v>
      </c>
      <c r="J345" s="106" t="s">
        <v>327</v>
      </c>
      <c r="K345" s="106" t="s">
        <v>382</v>
      </c>
      <c r="L345" s="106" t="s">
        <v>884</v>
      </c>
      <c r="M345" s="106" t="s">
        <v>388</v>
      </c>
      <c r="N345" s="106" t="s">
        <v>43</v>
      </c>
      <c r="O345" s="106" t="s">
        <v>541</v>
      </c>
      <c r="P345" s="106" t="s">
        <v>866</v>
      </c>
      <c r="Q345" s="106" t="s">
        <v>1576</v>
      </c>
      <c r="R345" s="106" t="s">
        <v>71</v>
      </c>
      <c r="S345" s="83" t="str">
        <f t="shared" si="37"/>
        <v>44747A-SLS</v>
      </c>
      <c r="T345" s="83" t="str">
        <f t="shared" si="38"/>
        <v>Saint Louis Stars Archive NL</v>
      </c>
      <c r="Y345" s="60">
        <f t="shared" si="39"/>
        <v>6</v>
      </c>
      <c r="Z345" s="49">
        <f t="shared" si="40"/>
        <v>316</v>
      </c>
      <c r="AA345" s="60">
        <f t="shared" si="41"/>
        <v>6316</v>
      </c>
    </row>
    <row r="346" spans="1:27">
      <c r="A346" s="83" t="str">
        <f t="shared" si="35"/>
        <v>44747A-SPSroyal</v>
      </c>
      <c r="B346" s="83" t="str">
        <f t="shared" si="36"/>
        <v>06-317-06</v>
      </c>
      <c r="C346" s="106" t="s">
        <v>1978</v>
      </c>
      <c r="D346" s="106" t="s">
        <v>1979</v>
      </c>
      <c r="E346" s="106" t="s">
        <v>788</v>
      </c>
      <c r="F346" s="107">
        <v>0</v>
      </c>
      <c r="G346" s="106" t="s">
        <v>1980</v>
      </c>
      <c r="H346" s="106" t="s">
        <v>71</v>
      </c>
      <c r="I346" s="106" t="s">
        <v>786</v>
      </c>
      <c r="J346" s="106" t="s">
        <v>327</v>
      </c>
      <c r="K346" s="106" t="s">
        <v>382</v>
      </c>
      <c r="L346" s="106" t="s">
        <v>884</v>
      </c>
      <c r="M346" s="106" t="s">
        <v>388</v>
      </c>
      <c r="N346" s="106" t="s">
        <v>43</v>
      </c>
      <c r="O346" s="106" t="s">
        <v>541</v>
      </c>
      <c r="P346" s="106" t="s">
        <v>866</v>
      </c>
      <c r="Q346" s="106" t="s">
        <v>1576</v>
      </c>
      <c r="R346" s="106" t="s">
        <v>71</v>
      </c>
      <c r="S346" s="83" t="str">
        <f t="shared" si="37"/>
        <v>44747A-SPS</v>
      </c>
      <c r="T346" s="83" t="str">
        <f t="shared" si="38"/>
        <v>Saint Paul Saints Archive MILB</v>
      </c>
      <c r="Y346" s="60">
        <f t="shared" si="39"/>
        <v>6</v>
      </c>
      <c r="Z346" s="49">
        <f t="shared" si="40"/>
        <v>317</v>
      </c>
      <c r="AA346" s="60">
        <f t="shared" si="41"/>
        <v>6317</v>
      </c>
    </row>
    <row r="347" spans="1:27">
      <c r="A347" s="83" t="str">
        <f t="shared" si="35"/>
        <v>44890E-CALIrlwtrd</v>
      </c>
      <c r="B347" s="83" t="str">
        <f t="shared" si="36"/>
        <v>06-318-79</v>
      </c>
      <c r="C347" s="106" t="s">
        <v>1981</v>
      </c>
      <c r="D347" s="106" t="s">
        <v>1982</v>
      </c>
      <c r="E347" s="106" t="s">
        <v>788</v>
      </c>
      <c r="F347" s="107">
        <v>0</v>
      </c>
      <c r="G347" s="106" t="s">
        <v>1983</v>
      </c>
      <c r="H347" s="106" t="s">
        <v>697</v>
      </c>
      <c r="I347" s="106" t="s">
        <v>1984</v>
      </c>
      <c r="J347" s="106" t="s">
        <v>327</v>
      </c>
      <c r="K347" s="106" t="s">
        <v>382</v>
      </c>
      <c r="L347" s="106" t="s">
        <v>880</v>
      </c>
      <c r="M347" s="106" t="s">
        <v>388</v>
      </c>
      <c r="O347" s="106" t="s">
        <v>386</v>
      </c>
      <c r="P347" s="106" t="s">
        <v>866</v>
      </c>
      <c r="Q347" s="106" t="s">
        <v>1985</v>
      </c>
      <c r="R347" s="106" t="s">
        <v>71</v>
      </c>
      <c r="S347" s="83" t="str">
        <f t="shared" si="37"/>
        <v>44890E-CALI</v>
      </c>
      <c r="T347" s="83" t="str">
        <f t="shared" si="38"/>
        <v>California Valin</v>
      </c>
      <c r="Y347" s="60">
        <f t="shared" si="39"/>
        <v>6</v>
      </c>
      <c r="Z347" s="49">
        <f t="shared" si="40"/>
        <v>318</v>
      </c>
      <c r="AA347" s="60">
        <f t="shared" si="41"/>
        <v>6318</v>
      </c>
    </row>
    <row r="348" spans="1:27">
      <c r="A348" s="83" t="str">
        <f t="shared" si="35"/>
        <v>44900A-NASAlight blue</v>
      </c>
      <c r="B348" s="83" t="str">
        <f t="shared" si="36"/>
        <v>06-319-19</v>
      </c>
      <c r="C348" s="106" t="s">
        <v>1986</v>
      </c>
      <c r="D348" s="106" t="s">
        <v>1987</v>
      </c>
      <c r="E348" s="106" t="s">
        <v>788</v>
      </c>
      <c r="F348" s="107">
        <v>0</v>
      </c>
      <c r="G348" s="106" t="s">
        <v>1988</v>
      </c>
      <c r="H348" s="106" t="s">
        <v>91</v>
      </c>
      <c r="I348" s="106" t="s">
        <v>786</v>
      </c>
      <c r="J348" s="106" t="s">
        <v>327</v>
      </c>
      <c r="K348" s="106" t="s">
        <v>382</v>
      </c>
      <c r="L348" s="106" t="s">
        <v>873</v>
      </c>
      <c r="M348" s="106" t="s">
        <v>388</v>
      </c>
      <c r="N348" s="106" t="s">
        <v>43</v>
      </c>
      <c r="O348" s="106" t="s">
        <v>541</v>
      </c>
      <c r="P348" s="106" t="s">
        <v>866</v>
      </c>
      <c r="Q348" s="106" t="s">
        <v>830</v>
      </c>
      <c r="R348" s="106" t="s">
        <v>91</v>
      </c>
      <c r="S348" s="83" t="str">
        <f t="shared" si="37"/>
        <v>44900A-NASA</v>
      </c>
      <c r="T348" s="83" t="str">
        <f t="shared" si="38"/>
        <v>Space with NASA Replay</v>
      </c>
      <c r="Y348" s="60">
        <f t="shared" si="39"/>
        <v>6</v>
      </c>
      <c r="Z348" s="49">
        <f t="shared" si="40"/>
        <v>319</v>
      </c>
      <c r="AA348" s="60">
        <f t="shared" si="41"/>
        <v>6319</v>
      </c>
    </row>
    <row r="349" spans="1:27">
      <c r="A349" s="83" t="str">
        <f t="shared" si="35"/>
        <v>44900A-PUGblue</v>
      </c>
      <c r="B349" s="83" t="str">
        <f t="shared" si="36"/>
        <v>06-320-06</v>
      </c>
      <c r="C349" s="106" t="s">
        <v>1989</v>
      </c>
      <c r="D349" s="106" t="s">
        <v>1990</v>
      </c>
      <c r="E349" s="106" t="s">
        <v>788</v>
      </c>
      <c r="F349" s="107">
        <v>0</v>
      </c>
      <c r="G349" s="106" t="s">
        <v>1991</v>
      </c>
      <c r="H349" s="106" t="s">
        <v>71</v>
      </c>
      <c r="I349" s="106" t="s">
        <v>786</v>
      </c>
      <c r="J349" s="106" t="s">
        <v>327</v>
      </c>
      <c r="K349" s="106" t="s">
        <v>382</v>
      </c>
      <c r="L349" s="106" t="s">
        <v>880</v>
      </c>
      <c r="M349" s="106" t="s">
        <v>388</v>
      </c>
      <c r="N349" s="106" t="s">
        <v>43</v>
      </c>
      <c r="O349" s="106" t="s">
        <v>541</v>
      </c>
      <c r="P349" s="106" t="s">
        <v>866</v>
      </c>
      <c r="Q349" s="106" t="s">
        <v>823</v>
      </c>
      <c r="R349" s="106" t="s">
        <v>71</v>
      </c>
      <c r="S349" s="83" t="str">
        <f t="shared" si="37"/>
        <v>44900A-PUG</v>
      </c>
      <c r="T349" s="83" t="str">
        <f t="shared" si="38"/>
        <v>Pug Replay</v>
      </c>
      <c r="Y349" s="60">
        <f t="shared" si="39"/>
        <v>6</v>
      </c>
      <c r="Z349" s="49">
        <f t="shared" si="40"/>
        <v>320</v>
      </c>
      <c r="AA349" s="60">
        <f t="shared" si="41"/>
        <v>6320</v>
      </c>
    </row>
    <row r="350" spans="1:27">
      <c r="A350" s="83" t="str">
        <f t="shared" si="35"/>
        <v>44902A-VGKblack</v>
      </c>
      <c r="B350" s="83" t="str">
        <f t="shared" si="36"/>
        <v>06-321-09</v>
      </c>
      <c r="C350" s="106" t="s">
        <v>1992</v>
      </c>
      <c r="D350" s="106" t="s">
        <v>1993</v>
      </c>
      <c r="E350" s="106" t="s">
        <v>788</v>
      </c>
      <c r="F350" s="107">
        <v>0</v>
      </c>
      <c r="G350" s="106" t="s">
        <v>1994</v>
      </c>
      <c r="H350" s="106" t="s">
        <v>53</v>
      </c>
      <c r="I350" s="106" t="s">
        <v>786</v>
      </c>
      <c r="J350" s="106" t="s">
        <v>327</v>
      </c>
      <c r="K350" s="106" t="s">
        <v>382</v>
      </c>
      <c r="L350" s="106" t="s">
        <v>884</v>
      </c>
      <c r="M350" s="106" t="s">
        <v>388</v>
      </c>
      <c r="N350" s="106" t="s">
        <v>43</v>
      </c>
      <c r="O350" s="106" t="s">
        <v>541</v>
      </c>
      <c r="P350" s="106" t="s">
        <v>866</v>
      </c>
      <c r="Q350" s="106" t="s">
        <v>819</v>
      </c>
      <c r="R350" s="106" t="s">
        <v>53</v>
      </c>
      <c r="S350" s="83" t="str">
        <f t="shared" si="37"/>
        <v>44902A-VGK</v>
      </c>
      <c r="T350" s="83" t="str">
        <f t="shared" si="38"/>
        <v>Vegas Golden Knights Replay NHL</v>
      </c>
      <c r="Y350" s="60">
        <f t="shared" si="39"/>
        <v>6</v>
      </c>
      <c r="Z350" s="49">
        <f t="shared" si="40"/>
        <v>321</v>
      </c>
      <c r="AA350" s="60">
        <f t="shared" si="41"/>
        <v>6321</v>
      </c>
    </row>
    <row r="351" spans="1:27">
      <c r="A351" s="83" t="str">
        <f t="shared" si="35"/>
        <v>44902A-VGKwhite</v>
      </c>
      <c r="B351" s="83" t="str">
        <f t="shared" si="36"/>
        <v>06-321-17</v>
      </c>
      <c r="C351" s="106" t="s">
        <v>1995</v>
      </c>
      <c r="D351" s="106" t="s">
        <v>1996</v>
      </c>
      <c r="E351" s="106" t="s">
        <v>788</v>
      </c>
      <c r="F351" s="107">
        <v>0</v>
      </c>
      <c r="G351" s="106" t="s">
        <v>1994</v>
      </c>
      <c r="H351" s="106" t="s">
        <v>57</v>
      </c>
      <c r="I351" s="106" t="s">
        <v>786</v>
      </c>
      <c r="J351" s="106" t="s">
        <v>327</v>
      </c>
      <c r="K351" s="106" t="s">
        <v>382</v>
      </c>
      <c r="L351" s="106" t="s">
        <v>884</v>
      </c>
      <c r="M351" s="106" t="s">
        <v>388</v>
      </c>
      <c r="N351" s="106" t="s">
        <v>43</v>
      </c>
      <c r="O351" s="106" t="s">
        <v>541</v>
      </c>
      <c r="P351" s="106" t="s">
        <v>866</v>
      </c>
      <c r="Q351" s="106" t="s">
        <v>820</v>
      </c>
      <c r="R351" s="106" t="s">
        <v>57</v>
      </c>
      <c r="S351" s="83" t="str">
        <f t="shared" si="37"/>
        <v>44902A-VGK</v>
      </c>
      <c r="T351" s="83" t="str">
        <f t="shared" si="38"/>
        <v>Vegas Golden Knights Replay NHL</v>
      </c>
      <c r="Y351" s="60">
        <f t="shared" si="39"/>
        <v>6</v>
      </c>
      <c r="Z351" s="49">
        <f t="shared" si="40"/>
        <v>321</v>
      </c>
      <c r="AA351" s="60">
        <f t="shared" si="41"/>
        <v>6321</v>
      </c>
    </row>
    <row r="352" spans="1:27">
      <c r="A352" s="83" t="str">
        <f t="shared" si="35"/>
        <v>44950A-CAULwhite</v>
      </c>
      <c r="B352" s="83" t="str">
        <f t="shared" si="36"/>
        <v>06-322-17</v>
      </c>
      <c r="C352" s="106" t="s">
        <v>1997</v>
      </c>
      <c r="D352" s="106" t="s">
        <v>1998</v>
      </c>
      <c r="E352" s="106" t="s">
        <v>788</v>
      </c>
      <c r="F352" s="107">
        <v>0</v>
      </c>
      <c r="G352" s="106" t="s">
        <v>1999</v>
      </c>
      <c r="H352" s="106" t="s">
        <v>57</v>
      </c>
      <c r="I352" s="106" t="s">
        <v>786</v>
      </c>
      <c r="J352" s="106" t="s">
        <v>327</v>
      </c>
      <c r="K352" s="106" t="s">
        <v>382</v>
      </c>
      <c r="L352" s="106" t="s">
        <v>2000</v>
      </c>
      <c r="M352" s="106" t="s">
        <v>388</v>
      </c>
      <c r="N352" s="106" t="s">
        <v>43</v>
      </c>
      <c r="O352" s="106" t="s">
        <v>541</v>
      </c>
      <c r="P352" s="106" t="s">
        <v>866</v>
      </c>
      <c r="Q352" s="106" t="s">
        <v>820</v>
      </c>
      <c r="R352" s="106" t="s">
        <v>57</v>
      </c>
      <c r="S352" s="83" t="str">
        <f t="shared" si="37"/>
        <v>44950A-CAUL</v>
      </c>
      <c r="T352" s="83" t="str">
        <f t="shared" si="38"/>
        <v>Cauliflower Foodie Slouch</v>
      </c>
      <c r="Y352" s="60">
        <f t="shared" si="39"/>
        <v>6</v>
      </c>
      <c r="Z352" s="49">
        <f t="shared" si="40"/>
        <v>322</v>
      </c>
      <c r="AA352" s="60">
        <f t="shared" si="41"/>
        <v>6322</v>
      </c>
    </row>
    <row r="353" spans="1:27">
      <c r="A353" s="83" t="str">
        <f t="shared" si="35"/>
        <v>44950A-KALEcedar</v>
      </c>
      <c r="B353" s="83" t="str">
        <f t="shared" si="36"/>
        <v>06-323-03</v>
      </c>
      <c r="C353" s="106" t="s">
        <v>2001</v>
      </c>
      <c r="D353" s="106" t="s">
        <v>2002</v>
      </c>
      <c r="E353" s="106" t="s">
        <v>788</v>
      </c>
      <c r="F353" s="107">
        <v>0</v>
      </c>
      <c r="G353" s="106" t="s">
        <v>2003</v>
      </c>
      <c r="H353" s="106" t="s">
        <v>195</v>
      </c>
      <c r="I353" s="106" t="s">
        <v>786</v>
      </c>
      <c r="J353" s="106" t="s">
        <v>327</v>
      </c>
      <c r="K353" s="106" t="s">
        <v>382</v>
      </c>
      <c r="L353" s="106" t="s">
        <v>2000</v>
      </c>
      <c r="M353" s="106" t="s">
        <v>388</v>
      </c>
      <c r="N353" s="106" t="s">
        <v>43</v>
      </c>
      <c r="O353" s="106" t="s">
        <v>541</v>
      </c>
      <c r="P353" s="106" t="s">
        <v>866</v>
      </c>
      <c r="Q353" s="106" t="s">
        <v>2004</v>
      </c>
      <c r="R353" s="106" t="s">
        <v>195</v>
      </c>
      <c r="S353" s="83" t="str">
        <f t="shared" si="37"/>
        <v>44950A-KALE</v>
      </c>
      <c r="T353" s="83" t="str">
        <f t="shared" si="38"/>
        <v>Kale Foodie Slouch</v>
      </c>
      <c r="Y353" s="60">
        <f t="shared" si="39"/>
        <v>6</v>
      </c>
      <c r="Z353" s="49">
        <f t="shared" si="40"/>
        <v>323</v>
      </c>
      <c r="AA353" s="60">
        <f t="shared" si="41"/>
        <v>6323</v>
      </c>
    </row>
    <row r="354" spans="1:27">
      <c r="A354" s="83" t="str">
        <f t="shared" si="35"/>
        <v>44950A-KETCred</v>
      </c>
      <c r="B354" s="83" t="str">
        <f t="shared" si="36"/>
        <v>06-324-18</v>
      </c>
      <c r="C354" s="106" t="s">
        <v>2005</v>
      </c>
      <c r="D354" s="106" t="s">
        <v>2006</v>
      </c>
      <c r="E354" s="106" t="s">
        <v>788</v>
      </c>
      <c r="F354" s="107">
        <v>0</v>
      </c>
      <c r="G354" s="106" t="s">
        <v>2007</v>
      </c>
      <c r="H354" s="106" t="s">
        <v>78</v>
      </c>
      <c r="I354" s="106" t="s">
        <v>786</v>
      </c>
      <c r="J354" s="106" t="s">
        <v>327</v>
      </c>
      <c r="K354" s="106" t="s">
        <v>382</v>
      </c>
      <c r="L354" s="106" t="s">
        <v>2000</v>
      </c>
      <c r="M354" s="106" t="s">
        <v>388</v>
      </c>
      <c r="N354" s="106" t="s">
        <v>43</v>
      </c>
      <c r="O354" s="106" t="s">
        <v>541</v>
      </c>
      <c r="P354" s="106" t="s">
        <v>866</v>
      </c>
      <c r="Q354" s="106" t="s">
        <v>822</v>
      </c>
      <c r="R354" s="106" t="s">
        <v>78</v>
      </c>
      <c r="S354" s="83" t="str">
        <f t="shared" si="37"/>
        <v>44950A-KETC</v>
      </c>
      <c r="T354" s="83" t="str">
        <f t="shared" si="38"/>
        <v>Ketchup Foodie Slouch</v>
      </c>
      <c r="Y354" s="60">
        <f t="shared" si="39"/>
        <v>6</v>
      </c>
      <c r="Z354" s="49">
        <f t="shared" si="40"/>
        <v>324</v>
      </c>
      <c r="AA354" s="60">
        <f t="shared" si="41"/>
        <v>6324</v>
      </c>
    </row>
    <row r="355" spans="1:27">
      <c r="A355" s="83" t="str">
        <f t="shared" si="35"/>
        <v>44950A-MAYObeige</v>
      </c>
      <c r="B355" s="83" t="str">
        <f t="shared" si="36"/>
        <v>06-325-02</v>
      </c>
      <c r="C355" s="106" t="s">
        <v>2008</v>
      </c>
      <c r="D355" s="106" t="s">
        <v>2009</v>
      </c>
      <c r="E355" s="106" t="s">
        <v>788</v>
      </c>
      <c r="F355" s="107">
        <v>0</v>
      </c>
      <c r="G355" s="106" t="s">
        <v>2010</v>
      </c>
      <c r="H355" s="106" t="s">
        <v>63</v>
      </c>
      <c r="I355" s="106" t="s">
        <v>786</v>
      </c>
      <c r="J355" s="106" t="s">
        <v>327</v>
      </c>
      <c r="K355" s="106" t="s">
        <v>382</v>
      </c>
      <c r="L355" s="106" t="s">
        <v>2000</v>
      </c>
      <c r="M355" s="106" t="s">
        <v>388</v>
      </c>
      <c r="N355" s="106" t="s">
        <v>43</v>
      </c>
      <c r="O355" s="106" t="s">
        <v>541</v>
      </c>
      <c r="P355" s="106" t="s">
        <v>866</v>
      </c>
      <c r="Q355" s="106" t="s">
        <v>821</v>
      </c>
      <c r="R355" s="106" t="s">
        <v>63</v>
      </c>
      <c r="S355" s="83" t="str">
        <f t="shared" si="37"/>
        <v>44950A-MAYO</v>
      </c>
      <c r="T355" s="83" t="str">
        <f t="shared" si="38"/>
        <v>Mayo Foodie Slouch</v>
      </c>
      <c r="Y355" s="60">
        <f t="shared" si="39"/>
        <v>6</v>
      </c>
      <c r="Z355" s="49">
        <f t="shared" si="40"/>
        <v>325</v>
      </c>
      <c r="AA355" s="60">
        <f t="shared" si="41"/>
        <v>6325</v>
      </c>
    </row>
    <row r="356" spans="1:27">
      <c r="A356" s="83" t="str">
        <f t="shared" si="35"/>
        <v>44950A-MUSTyellow</v>
      </c>
      <c r="B356" s="83" t="str">
        <f t="shared" si="36"/>
        <v>06-326-20</v>
      </c>
      <c r="C356" s="106" t="s">
        <v>2011</v>
      </c>
      <c r="D356" s="106" t="s">
        <v>2012</v>
      </c>
      <c r="E356" s="106" t="s">
        <v>788</v>
      </c>
      <c r="F356" s="107">
        <v>0</v>
      </c>
      <c r="G356" s="106" t="s">
        <v>2013</v>
      </c>
      <c r="H356" s="106" t="s">
        <v>65</v>
      </c>
      <c r="I356" s="106" t="s">
        <v>786</v>
      </c>
      <c r="J356" s="106" t="s">
        <v>327</v>
      </c>
      <c r="K356" s="106" t="s">
        <v>382</v>
      </c>
      <c r="L356" s="106" t="s">
        <v>2000</v>
      </c>
      <c r="M356" s="106" t="s">
        <v>388</v>
      </c>
      <c r="N356" s="106" t="s">
        <v>43</v>
      </c>
      <c r="O356" s="106" t="s">
        <v>541</v>
      </c>
      <c r="P356" s="106" t="s">
        <v>866</v>
      </c>
      <c r="Q356" s="106" t="s">
        <v>2014</v>
      </c>
      <c r="R356" s="106" t="s">
        <v>65</v>
      </c>
      <c r="S356" s="83" t="str">
        <f t="shared" si="37"/>
        <v>44950A-MUST</v>
      </c>
      <c r="T356" s="83" t="str">
        <f t="shared" si="38"/>
        <v>Mustard Foodie Slouch</v>
      </c>
      <c r="Y356" s="60">
        <f t="shared" si="39"/>
        <v>6</v>
      </c>
      <c r="Z356" s="49">
        <f t="shared" si="40"/>
        <v>326</v>
      </c>
      <c r="AA356" s="60">
        <f t="shared" si="41"/>
        <v>6326</v>
      </c>
    </row>
    <row r="357" spans="1:27">
      <c r="A357" s="83" t="str">
        <f t="shared" si="35"/>
        <v>44960B-CAwtbl</v>
      </c>
      <c r="B357" s="83" t="str">
        <f t="shared" si="36"/>
        <v>06-327-46</v>
      </c>
      <c r="C357" s="106" t="s">
        <v>2015</v>
      </c>
      <c r="D357" s="106" t="s">
        <v>2016</v>
      </c>
      <c r="E357" s="106" t="s">
        <v>788</v>
      </c>
      <c r="F357" s="107">
        <v>0</v>
      </c>
      <c r="G357" s="106" t="s">
        <v>2017</v>
      </c>
      <c r="H357" s="106" t="s">
        <v>107</v>
      </c>
      <c r="I357" s="106" t="s">
        <v>1984</v>
      </c>
      <c r="J357" s="106" t="s">
        <v>356</v>
      </c>
      <c r="K357" s="106" t="s">
        <v>382</v>
      </c>
      <c r="L357" s="106" t="s">
        <v>880</v>
      </c>
      <c r="M357" s="106" t="s">
        <v>388</v>
      </c>
      <c r="O357" s="106" t="s">
        <v>386</v>
      </c>
      <c r="P357" s="106" t="s">
        <v>866</v>
      </c>
      <c r="Q357" s="106" t="s">
        <v>2018</v>
      </c>
      <c r="R357" s="106" t="s">
        <v>57</v>
      </c>
      <c r="S357" s="83" t="str">
        <f t="shared" si="37"/>
        <v>44960B-CA</v>
      </c>
      <c r="T357" s="83" t="str">
        <f t="shared" si="38"/>
        <v>California Riptide Valin</v>
      </c>
      <c r="Y357" s="60">
        <f t="shared" si="39"/>
        <v>6</v>
      </c>
      <c r="Z357" s="49">
        <f t="shared" si="40"/>
        <v>327</v>
      </c>
      <c r="AA357" s="60">
        <f t="shared" si="41"/>
        <v>6327</v>
      </c>
    </row>
    <row r="358" spans="1:27">
      <c r="A358" s="83" t="str">
        <f t="shared" si="35"/>
        <v>45020A-AMERblack</v>
      </c>
      <c r="B358" s="83" t="str">
        <f t="shared" si="36"/>
        <v>06-328-09</v>
      </c>
      <c r="C358" s="106" t="s">
        <v>2019</v>
      </c>
      <c r="D358" s="106" t="s">
        <v>2020</v>
      </c>
      <c r="E358" s="106" t="s">
        <v>788</v>
      </c>
      <c r="F358" s="107">
        <v>0</v>
      </c>
      <c r="G358" s="106" t="s">
        <v>2021</v>
      </c>
      <c r="H358" s="106" t="s">
        <v>53</v>
      </c>
      <c r="I358" s="106" t="s">
        <v>786</v>
      </c>
      <c r="J358" s="106" t="s">
        <v>327</v>
      </c>
      <c r="K358" s="106" t="s">
        <v>382</v>
      </c>
      <c r="L358" s="106" t="s">
        <v>880</v>
      </c>
      <c r="M358" s="106" t="s">
        <v>388</v>
      </c>
      <c r="N358" s="106" t="s">
        <v>43</v>
      </c>
      <c r="O358" s="106" t="s">
        <v>386</v>
      </c>
      <c r="P358" s="106" t="s">
        <v>866</v>
      </c>
      <c r="Q358" s="106" t="s">
        <v>819</v>
      </c>
      <c r="R358" s="106" t="s">
        <v>53</v>
      </c>
      <c r="S358" s="83" t="str">
        <f t="shared" si="37"/>
        <v>45020A-AMER</v>
      </c>
      <c r="T358" s="83" t="str">
        <f t="shared" si="38"/>
        <v>Americana Conrad</v>
      </c>
      <c r="Y358" s="60">
        <f t="shared" si="39"/>
        <v>6</v>
      </c>
      <c r="Z358" s="49">
        <f t="shared" si="40"/>
        <v>328</v>
      </c>
      <c r="AA358" s="60">
        <f t="shared" si="41"/>
        <v>6328</v>
      </c>
    </row>
    <row r="359" spans="1:27">
      <c r="A359" s="83" t="str">
        <f t="shared" si="35"/>
        <v>45020A-AMERnavy</v>
      </c>
      <c r="B359" s="83" t="str">
        <f t="shared" si="36"/>
        <v>06-328-16</v>
      </c>
      <c r="C359" s="106" t="s">
        <v>2022</v>
      </c>
      <c r="D359" s="106" t="s">
        <v>2023</v>
      </c>
      <c r="E359" s="106" t="s">
        <v>788</v>
      </c>
      <c r="F359" s="107">
        <v>0</v>
      </c>
      <c r="G359" s="106" t="s">
        <v>2021</v>
      </c>
      <c r="H359" s="106" t="s">
        <v>55</v>
      </c>
      <c r="I359" s="106" t="s">
        <v>786</v>
      </c>
      <c r="J359" s="106" t="s">
        <v>327</v>
      </c>
      <c r="K359" s="106" t="s">
        <v>382</v>
      </c>
      <c r="L359" s="106" t="s">
        <v>880</v>
      </c>
      <c r="M359" s="106" t="s">
        <v>388</v>
      </c>
      <c r="N359" s="106" t="s">
        <v>43</v>
      </c>
      <c r="O359" s="106" t="s">
        <v>386</v>
      </c>
      <c r="P359" s="106" t="s">
        <v>866</v>
      </c>
      <c r="Q359" s="106" t="s">
        <v>818</v>
      </c>
      <c r="R359" s="106" t="s">
        <v>71</v>
      </c>
      <c r="S359" s="83" t="str">
        <f t="shared" si="37"/>
        <v>45020A-AMER</v>
      </c>
      <c r="T359" s="83" t="str">
        <f t="shared" si="38"/>
        <v>Americana Conrad</v>
      </c>
      <c r="Y359" s="60">
        <f t="shared" si="39"/>
        <v>6</v>
      </c>
      <c r="Z359" s="49">
        <f t="shared" si="40"/>
        <v>328</v>
      </c>
      <c r="AA359" s="60">
        <f t="shared" si="41"/>
        <v>6328</v>
      </c>
    </row>
    <row r="360" spans="1:27">
      <c r="A360" s="83" t="str">
        <f t="shared" si="35"/>
        <v>45020A-USAblack</v>
      </c>
      <c r="B360" s="83" t="str">
        <f t="shared" si="36"/>
        <v>06-329-09</v>
      </c>
      <c r="C360" s="106" t="s">
        <v>2024</v>
      </c>
      <c r="D360" s="106" t="s">
        <v>2025</v>
      </c>
      <c r="E360" s="106" t="s">
        <v>788</v>
      </c>
      <c r="F360" s="107">
        <v>0</v>
      </c>
      <c r="G360" s="106" t="s">
        <v>2026</v>
      </c>
      <c r="H360" s="106" t="s">
        <v>53</v>
      </c>
      <c r="I360" s="106" t="s">
        <v>786</v>
      </c>
      <c r="J360" s="106" t="s">
        <v>327</v>
      </c>
      <c r="K360" s="106" t="s">
        <v>382</v>
      </c>
      <c r="L360" s="106" t="s">
        <v>880</v>
      </c>
      <c r="M360" s="106" t="s">
        <v>388</v>
      </c>
      <c r="N360" s="106" t="s">
        <v>43</v>
      </c>
      <c r="O360" s="106" t="s">
        <v>386</v>
      </c>
      <c r="P360" s="106" t="s">
        <v>866</v>
      </c>
      <c r="Q360" s="106" t="s">
        <v>819</v>
      </c>
      <c r="R360" s="106" t="s">
        <v>53</v>
      </c>
      <c r="S360" s="83" t="str">
        <f t="shared" si="37"/>
        <v>45020A-USA</v>
      </c>
      <c r="T360" s="83" t="str">
        <f t="shared" si="38"/>
        <v>United States Conrad</v>
      </c>
      <c r="Y360" s="60">
        <f t="shared" si="39"/>
        <v>6</v>
      </c>
      <c r="Z360" s="49">
        <f t="shared" si="40"/>
        <v>329</v>
      </c>
      <c r="AA360" s="60">
        <f t="shared" si="41"/>
        <v>6329</v>
      </c>
    </row>
    <row r="361" spans="1:27">
      <c r="A361" s="83" t="str">
        <f t="shared" si="35"/>
        <v>45020A-USAnavy</v>
      </c>
      <c r="B361" s="83" t="str">
        <f t="shared" si="36"/>
        <v>06-329-16</v>
      </c>
      <c r="C361" s="106" t="s">
        <v>2027</v>
      </c>
      <c r="D361" s="106" t="s">
        <v>2028</v>
      </c>
      <c r="E361" s="106" t="s">
        <v>788</v>
      </c>
      <c r="F361" s="107">
        <v>0</v>
      </c>
      <c r="G361" s="106" t="s">
        <v>2026</v>
      </c>
      <c r="H361" s="106" t="s">
        <v>55</v>
      </c>
      <c r="I361" s="106" t="s">
        <v>786</v>
      </c>
      <c r="J361" s="106" t="s">
        <v>327</v>
      </c>
      <c r="K361" s="106" t="s">
        <v>382</v>
      </c>
      <c r="L361" s="106" t="s">
        <v>880</v>
      </c>
      <c r="M361" s="106" t="s">
        <v>388</v>
      </c>
      <c r="N361" s="106" t="s">
        <v>43</v>
      </c>
      <c r="O361" s="106" t="s">
        <v>386</v>
      </c>
      <c r="P361" s="106" t="s">
        <v>866</v>
      </c>
      <c r="Q361" s="106" t="s">
        <v>818</v>
      </c>
      <c r="R361" s="106" t="s">
        <v>71</v>
      </c>
      <c r="S361" s="83" t="str">
        <f t="shared" si="37"/>
        <v>45020A-USA</v>
      </c>
      <c r="T361" s="83" t="str">
        <f t="shared" si="38"/>
        <v>United States Conrad</v>
      </c>
      <c r="Y361" s="60">
        <f t="shared" si="39"/>
        <v>6</v>
      </c>
      <c r="Z361" s="49">
        <f t="shared" si="40"/>
        <v>329</v>
      </c>
      <c r="AA361" s="60">
        <f t="shared" si="41"/>
        <v>6329</v>
      </c>
    </row>
    <row r="362" spans="1:27">
      <c r="A362" s="83" t="str">
        <f t="shared" si="35"/>
        <v>GM-1901Achrome</v>
      </c>
      <c r="B362" s="83" t="str">
        <f t="shared" si="36"/>
        <v>06-330-01</v>
      </c>
      <c r="C362" s="106" t="s">
        <v>2029</v>
      </c>
      <c r="D362" s="106" t="s">
        <v>2030</v>
      </c>
      <c r="E362" s="106" t="s">
        <v>788</v>
      </c>
      <c r="F362" s="107">
        <v>0</v>
      </c>
      <c r="G362" s="106" t="s">
        <v>2031</v>
      </c>
      <c r="H362" s="106" t="s">
        <v>231</v>
      </c>
      <c r="I362" s="106" t="s">
        <v>786</v>
      </c>
      <c r="J362" s="106" t="s">
        <v>327</v>
      </c>
      <c r="K362" s="106" t="s">
        <v>382</v>
      </c>
      <c r="L362" s="106" t="s">
        <v>1358</v>
      </c>
      <c r="M362" s="106" t="s">
        <v>388</v>
      </c>
      <c r="N362" s="106" t="s">
        <v>43</v>
      </c>
      <c r="O362" s="106" t="s">
        <v>541</v>
      </c>
      <c r="P362" s="106" t="s">
        <v>866</v>
      </c>
      <c r="Q362" s="106" t="s">
        <v>2032</v>
      </c>
      <c r="R362" s="106" t="s">
        <v>83</v>
      </c>
      <c r="S362" s="83" t="str">
        <f t="shared" si="37"/>
        <v>GM-1901A</v>
      </c>
      <c r="T362" s="83" t="str">
        <f t="shared" si="38"/>
        <v>Chevrolet New Raglan</v>
      </c>
      <c r="Y362" s="60">
        <f t="shared" si="39"/>
        <v>6</v>
      </c>
      <c r="Z362" s="49">
        <f t="shared" si="40"/>
        <v>330</v>
      </c>
      <c r="AA362" s="60">
        <f t="shared" si="41"/>
        <v>6330</v>
      </c>
    </row>
    <row r="363" spans="1:27">
      <c r="A363" s="83" t="str">
        <f t="shared" si="35"/>
        <v>GM-1909Dred</v>
      </c>
      <c r="B363" s="83" t="str">
        <f t="shared" si="36"/>
        <v>06-331-18</v>
      </c>
      <c r="C363" s="106" t="s">
        <v>2033</v>
      </c>
      <c r="D363" s="106" t="s">
        <v>2034</v>
      </c>
      <c r="E363" s="106" t="s">
        <v>788</v>
      </c>
      <c r="F363" s="107">
        <v>0</v>
      </c>
      <c r="G363" s="106" t="s">
        <v>2035</v>
      </c>
      <c r="H363" s="106" t="s">
        <v>78</v>
      </c>
      <c r="I363" s="106" t="s">
        <v>1034</v>
      </c>
      <c r="J363" s="106" t="s">
        <v>327</v>
      </c>
      <c r="K363" s="106" t="s">
        <v>382</v>
      </c>
      <c r="L363" s="106" t="s">
        <v>1358</v>
      </c>
      <c r="M363" s="106" t="s">
        <v>388</v>
      </c>
      <c r="N363" s="106" t="s">
        <v>43</v>
      </c>
      <c r="O363" s="106" t="s">
        <v>541</v>
      </c>
      <c r="P363" s="106" t="s">
        <v>866</v>
      </c>
      <c r="Q363" s="106" t="s">
        <v>822</v>
      </c>
      <c r="R363" s="106" t="s">
        <v>78</v>
      </c>
      <c r="S363" s="83" t="str">
        <f t="shared" si="37"/>
        <v>GM-1909D</v>
      </c>
      <c r="T363" s="83" t="str">
        <f t="shared" si="38"/>
        <v>Corvette Raglan Bones</v>
      </c>
      <c r="Y363" s="60">
        <f t="shared" si="39"/>
        <v>6</v>
      </c>
      <c r="Z363" s="49">
        <f t="shared" si="40"/>
        <v>331</v>
      </c>
      <c r="AA363" s="60">
        <f t="shared" si="41"/>
        <v>6331</v>
      </c>
    </row>
    <row r="364" spans="1:27">
      <c r="A364" s="83" t="str">
        <f t="shared" si="35"/>
        <v>42792A-CBHred-black</v>
      </c>
      <c r="B364" s="83" t="str">
        <f t="shared" si="36"/>
        <v>06-332-18</v>
      </c>
      <c r="C364" s="106" t="s">
        <v>2036</v>
      </c>
      <c r="D364" s="106" t="s">
        <v>2037</v>
      </c>
      <c r="E364" s="106" t="s">
        <v>788</v>
      </c>
      <c r="F364" s="107">
        <v>0</v>
      </c>
      <c r="G364" s="106" t="s">
        <v>2038</v>
      </c>
      <c r="H364" s="106" t="s">
        <v>179</v>
      </c>
      <c r="I364" s="106" t="s">
        <v>790</v>
      </c>
      <c r="J364" s="106" t="s">
        <v>342</v>
      </c>
      <c r="K364" s="106" t="s">
        <v>382</v>
      </c>
      <c r="L364" s="106" t="s">
        <v>884</v>
      </c>
      <c r="M364" s="106" t="s">
        <v>389</v>
      </c>
      <c r="O364" s="106" t="s">
        <v>386</v>
      </c>
      <c r="P364" s="106" t="s">
        <v>866</v>
      </c>
      <c r="Q364" s="106" t="s">
        <v>1646</v>
      </c>
      <c r="R364" s="106" t="s">
        <v>78</v>
      </c>
      <c r="S364" s="83" t="str">
        <f t="shared" si="37"/>
        <v>42792A-CBH</v>
      </c>
      <c r="T364" s="83" t="str">
        <f t="shared" si="38"/>
        <v>Chicago Blackhawks Breezy NHL</v>
      </c>
      <c r="Y364" s="60">
        <f t="shared" si="39"/>
        <v>6</v>
      </c>
      <c r="Z364" s="49">
        <f t="shared" si="40"/>
        <v>332</v>
      </c>
      <c r="AA364" s="60">
        <f t="shared" si="41"/>
        <v>6332</v>
      </c>
    </row>
    <row r="365" spans="1:27">
      <c r="A365" s="83" t="str">
        <f t="shared" si="35"/>
        <v>44612A-LAKblack-grey</v>
      </c>
      <c r="B365" s="83" t="str">
        <f t="shared" si="36"/>
        <v>06-333-88</v>
      </c>
      <c r="C365" s="106" t="s">
        <v>2039</v>
      </c>
      <c r="D365" s="106" t="s">
        <v>2040</v>
      </c>
      <c r="E365" s="106" t="s">
        <v>788</v>
      </c>
      <c r="F365" s="107">
        <v>0</v>
      </c>
      <c r="G365" s="106" t="s">
        <v>2041</v>
      </c>
      <c r="H365" s="106" t="s">
        <v>308</v>
      </c>
      <c r="I365" s="106" t="s">
        <v>1034</v>
      </c>
      <c r="J365" s="106" t="s">
        <v>356</v>
      </c>
      <c r="K365" s="106" t="s">
        <v>382</v>
      </c>
      <c r="L365" s="106" t="s">
        <v>884</v>
      </c>
      <c r="M365" s="106" t="s">
        <v>388</v>
      </c>
      <c r="N365" s="106" t="s">
        <v>43</v>
      </c>
      <c r="O365" s="106" t="s">
        <v>386</v>
      </c>
      <c r="P365" s="106" t="s">
        <v>866</v>
      </c>
      <c r="Q365" s="106" t="s">
        <v>1810</v>
      </c>
      <c r="R365" s="106" t="s">
        <v>53</v>
      </c>
      <c r="S365" s="83" t="str">
        <f t="shared" si="37"/>
        <v>44612A-LAK</v>
      </c>
      <c r="T365" s="83" t="str">
        <f t="shared" si="38"/>
        <v>Los Angeles Kings Cross Fade NHL</v>
      </c>
      <c r="Y365" s="60">
        <f t="shared" si="39"/>
        <v>6</v>
      </c>
      <c r="Z365" s="49">
        <f t="shared" si="40"/>
        <v>333</v>
      </c>
      <c r="AA365" s="60">
        <f t="shared" si="41"/>
        <v>6333</v>
      </c>
    </row>
    <row r="366" spans="1:27">
      <c r="A366" s="83" t="str">
        <f t="shared" si="35"/>
        <v>19H001A-AMGC</v>
      </c>
      <c r="B366" s="83" t="str">
        <f t="shared" si="36"/>
        <v>06-334-</v>
      </c>
      <c r="C366" s="106" t="s">
        <v>2368</v>
      </c>
      <c r="G366" s="106" t="s">
        <v>2042</v>
      </c>
      <c r="S366" s="83" t="str">
        <f t="shared" si="37"/>
        <v>19H001A-AMGC</v>
      </c>
      <c r="T366" s="83" t="str">
        <f t="shared" si="38"/>
        <v>19H001A-AMGC</v>
      </c>
      <c r="Y366" s="60">
        <f t="shared" si="39"/>
        <v>6</v>
      </c>
      <c r="Z366" s="49">
        <f t="shared" si="40"/>
        <v>334</v>
      </c>
      <c r="AA366" s="60">
        <f t="shared" si="41"/>
        <v>6334</v>
      </c>
    </row>
    <row r="367" spans="1:27">
      <c r="A367" s="83" t="str">
        <f t="shared" si="35"/>
        <v>19H001A-CANYON</v>
      </c>
      <c r="B367" s="83" t="str">
        <f t="shared" si="36"/>
        <v>06-335-</v>
      </c>
      <c r="C367" s="106" t="s">
        <v>2369</v>
      </c>
      <c r="G367" s="106" t="s">
        <v>2043</v>
      </c>
      <c r="S367" s="83" t="str">
        <f t="shared" si="37"/>
        <v>19H001A-CANYON</v>
      </c>
      <c r="T367" s="83" t="str">
        <f t="shared" si="38"/>
        <v>19H001A-CANYON</v>
      </c>
      <c r="Y367" s="60">
        <f t="shared" si="39"/>
        <v>6</v>
      </c>
      <c r="Z367" s="49">
        <f t="shared" si="40"/>
        <v>335</v>
      </c>
      <c r="AA367" s="60">
        <f t="shared" si="41"/>
        <v>6335</v>
      </c>
    </row>
    <row r="368" spans="1:27">
      <c r="A368" s="83" t="str">
        <f t="shared" si="35"/>
        <v>19H001A-CHGOO</v>
      </c>
      <c r="B368" s="83" t="str">
        <f t="shared" si="36"/>
        <v>06-336-</v>
      </c>
      <c r="C368" s="106" t="s">
        <v>2370</v>
      </c>
      <c r="G368" s="106" t="s">
        <v>2044</v>
      </c>
      <c r="S368" s="83" t="str">
        <f t="shared" si="37"/>
        <v>19H001A-CHGOO</v>
      </c>
      <c r="T368" s="83" t="str">
        <f t="shared" si="38"/>
        <v>19H001A-CHGOO</v>
      </c>
      <c r="Y368" s="60">
        <f t="shared" si="39"/>
        <v>6</v>
      </c>
      <c r="Z368" s="49">
        <f t="shared" si="40"/>
        <v>336</v>
      </c>
      <c r="AA368" s="60">
        <f t="shared" si="41"/>
        <v>6336</v>
      </c>
    </row>
    <row r="369" spans="1:27">
      <c r="A369" s="83" t="str">
        <f t="shared" si="35"/>
        <v>19H001A-DESERT</v>
      </c>
      <c r="B369" s="83" t="str">
        <f t="shared" si="36"/>
        <v>06-337-</v>
      </c>
      <c r="C369" s="106" t="s">
        <v>2371</v>
      </c>
      <c r="G369" s="106" t="s">
        <v>2045</v>
      </c>
      <c r="S369" s="83" t="str">
        <f t="shared" si="37"/>
        <v>19H001A-DESERT</v>
      </c>
      <c r="T369" s="83" t="str">
        <f t="shared" si="38"/>
        <v>19H001A-DESERT</v>
      </c>
      <c r="Y369" s="60">
        <f t="shared" si="39"/>
        <v>6</v>
      </c>
      <c r="Z369" s="49">
        <f t="shared" si="40"/>
        <v>337</v>
      </c>
      <c r="AA369" s="60">
        <f t="shared" si="41"/>
        <v>6337</v>
      </c>
    </row>
    <row r="370" spans="1:27">
      <c r="A370" s="83" t="str">
        <f t="shared" si="35"/>
        <v>19H001A-GOLFD</v>
      </c>
      <c r="B370" s="83" t="str">
        <f t="shared" si="36"/>
        <v>06-338-</v>
      </c>
      <c r="C370" s="106" t="s">
        <v>2372</v>
      </c>
      <c r="G370" s="106" t="s">
        <v>2046</v>
      </c>
      <c r="S370" s="83" t="str">
        <f t="shared" si="37"/>
        <v>19H001A-GOLFD</v>
      </c>
      <c r="T370" s="83" t="str">
        <f t="shared" si="38"/>
        <v>19H001A-GOLFD</v>
      </c>
      <c r="Y370" s="60">
        <f t="shared" si="39"/>
        <v>6</v>
      </c>
      <c r="Z370" s="49">
        <f t="shared" si="40"/>
        <v>338</v>
      </c>
      <c r="AA370" s="60">
        <f t="shared" si="41"/>
        <v>6338</v>
      </c>
    </row>
    <row r="371" spans="1:27">
      <c r="A371" s="83" t="str">
        <f t="shared" si="35"/>
        <v>19H001A-HAWAO</v>
      </c>
      <c r="B371" s="83" t="str">
        <f t="shared" si="36"/>
        <v>06-339-</v>
      </c>
      <c r="C371" s="106" t="s">
        <v>2373</v>
      </c>
      <c r="G371" s="106" t="s">
        <v>2047</v>
      </c>
      <c r="S371" s="83" t="str">
        <f t="shared" si="37"/>
        <v>19H001A-HAWAO</v>
      </c>
      <c r="T371" s="83" t="str">
        <f t="shared" si="38"/>
        <v>19H001A-HAWAO</v>
      </c>
      <c r="Y371" s="60">
        <f t="shared" si="39"/>
        <v>6</v>
      </c>
      <c r="Z371" s="49">
        <f t="shared" si="40"/>
        <v>339</v>
      </c>
      <c r="AA371" s="60">
        <f t="shared" si="41"/>
        <v>6339</v>
      </c>
    </row>
    <row r="372" spans="1:27">
      <c r="A372" s="83" t="str">
        <f t="shared" si="35"/>
        <v>19H001A-MUSICC</v>
      </c>
      <c r="B372" s="83" t="str">
        <f t="shared" si="36"/>
        <v>06-340-</v>
      </c>
      <c r="C372" s="106" t="s">
        <v>2374</v>
      </c>
      <c r="G372" s="106" t="s">
        <v>2048</v>
      </c>
      <c r="S372" s="83" t="str">
        <f t="shared" si="37"/>
        <v>19H001A-MUSICC</v>
      </c>
      <c r="T372" s="83" t="str">
        <f t="shared" si="38"/>
        <v>19H001A-MUSICC</v>
      </c>
      <c r="Y372" s="60">
        <f t="shared" si="39"/>
        <v>6</v>
      </c>
      <c r="Z372" s="49">
        <f t="shared" si="40"/>
        <v>340</v>
      </c>
      <c r="AA372" s="60">
        <f t="shared" si="41"/>
        <v>6340</v>
      </c>
    </row>
    <row r="373" spans="1:27">
      <c r="A373" s="83" t="str">
        <f t="shared" si="35"/>
        <v>19H001A-TUSCON</v>
      </c>
      <c r="B373" s="83" t="str">
        <f t="shared" si="36"/>
        <v>06-341-</v>
      </c>
      <c r="C373" s="106" t="s">
        <v>2375</v>
      </c>
      <c r="G373" s="106" t="s">
        <v>2049</v>
      </c>
      <c r="S373" s="83" t="str">
        <f t="shared" si="37"/>
        <v>19H001A-TUSCON</v>
      </c>
      <c r="T373" s="83" t="str">
        <f t="shared" si="38"/>
        <v>19H001A-TUSCON</v>
      </c>
      <c r="Y373" s="60">
        <f t="shared" si="39"/>
        <v>6</v>
      </c>
      <c r="Z373" s="49">
        <f t="shared" si="40"/>
        <v>341</v>
      </c>
      <c r="AA373" s="60">
        <f t="shared" si="41"/>
        <v>6341</v>
      </c>
    </row>
    <row r="374" spans="1:27">
      <c r="A374" s="83" t="str">
        <f t="shared" si="35"/>
        <v>19H005A-CONDOR</v>
      </c>
      <c r="B374" s="83" t="str">
        <f t="shared" si="36"/>
        <v>06-342-</v>
      </c>
      <c r="C374" s="106" t="s">
        <v>2376</v>
      </c>
      <c r="G374" s="106" t="s">
        <v>2050</v>
      </c>
      <c r="S374" s="83" t="str">
        <f t="shared" si="37"/>
        <v>19H005A-CONDOR</v>
      </c>
      <c r="T374" s="83" t="str">
        <f t="shared" si="38"/>
        <v>19H005A-CONDOR</v>
      </c>
      <c r="Y374" s="60">
        <f t="shared" si="39"/>
        <v>6</v>
      </c>
      <c r="Z374" s="49">
        <f t="shared" si="40"/>
        <v>342</v>
      </c>
      <c r="AA374" s="60">
        <f t="shared" si="41"/>
        <v>6342</v>
      </c>
    </row>
    <row r="375" spans="1:27">
      <c r="A375" s="83" t="str">
        <f t="shared" si="35"/>
        <v>19H005A-FLCO</v>
      </c>
      <c r="B375" s="83" t="str">
        <f t="shared" si="36"/>
        <v>06-343-</v>
      </c>
      <c r="C375" s="106" t="s">
        <v>2377</v>
      </c>
      <c r="G375" s="106" t="s">
        <v>2051</v>
      </c>
      <c r="S375" s="83" t="str">
        <f t="shared" si="37"/>
        <v>19H005A-FLCO</v>
      </c>
      <c r="T375" s="83" t="str">
        <f t="shared" si="38"/>
        <v>19H005A-FLCO</v>
      </c>
      <c r="Y375" s="60">
        <f t="shared" si="39"/>
        <v>6</v>
      </c>
      <c r="Z375" s="49">
        <f t="shared" si="40"/>
        <v>343</v>
      </c>
      <c r="AA375" s="60">
        <f t="shared" si="41"/>
        <v>6343</v>
      </c>
    </row>
    <row r="376" spans="1:27">
      <c r="A376" s="83" t="str">
        <f t="shared" si="35"/>
        <v>19H005A-HAWAO</v>
      </c>
      <c r="B376" s="83" t="str">
        <f t="shared" si="36"/>
        <v>06-344-</v>
      </c>
      <c r="C376" s="106" t="s">
        <v>2378</v>
      </c>
      <c r="G376" s="106" t="s">
        <v>2052</v>
      </c>
      <c r="S376" s="83" t="str">
        <f t="shared" si="37"/>
        <v>19H005A-HAWAO</v>
      </c>
      <c r="T376" s="83" t="str">
        <f t="shared" si="38"/>
        <v>19H005A-HAWAO</v>
      </c>
      <c r="Y376" s="60">
        <f t="shared" si="39"/>
        <v>6</v>
      </c>
      <c r="Z376" s="49">
        <f t="shared" si="40"/>
        <v>344</v>
      </c>
      <c r="AA376" s="60">
        <f t="shared" si="41"/>
        <v>6344</v>
      </c>
    </row>
    <row r="377" spans="1:27">
      <c r="A377" s="83" t="str">
        <f t="shared" si="35"/>
        <v>19H005A-LAOPEN</v>
      </c>
      <c r="B377" s="83" t="str">
        <f t="shared" si="36"/>
        <v>06-345-</v>
      </c>
      <c r="C377" s="106" t="s">
        <v>2379</v>
      </c>
      <c r="G377" s="106" t="s">
        <v>2053</v>
      </c>
      <c r="S377" s="83" t="str">
        <f t="shared" si="37"/>
        <v>19H005A-LAOPEN</v>
      </c>
      <c r="T377" s="83" t="str">
        <f t="shared" si="38"/>
        <v>19H005A-LAOPEN</v>
      </c>
      <c r="Y377" s="60">
        <f t="shared" si="39"/>
        <v>6</v>
      </c>
      <c r="Z377" s="49">
        <f t="shared" si="40"/>
        <v>345</v>
      </c>
      <c r="AA377" s="60">
        <f t="shared" si="41"/>
        <v>6345</v>
      </c>
    </row>
    <row r="378" spans="1:27">
      <c r="A378" s="83" t="str">
        <f t="shared" si="35"/>
        <v>19H005A-SWEET</v>
      </c>
      <c r="B378" s="83" t="str">
        <f t="shared" si="36"/>
        <v>06-346-</v>
      </c>
      <c r="C378" s="106" t="s">
        <v>2380</v>
      </c>
      <c r="G378" s="106" t="s">
        <v>2054</v>
      </c>
      <c r="S378" s="83" t="str">
        <f t="shared" si="37"/>
        <v>19H005A-SWEET</v>
      </c>
      <c r="T378" s="83" t="str">
        <f t="shared" si="38"/>
        <v>19H005A-SWEET</v>
      </c>
      <c r="Y378" s="60">
        <f t="shared" si="39"/>
        <v>6</v>
      </c>
      <c r="Z378" s="49">
        <f t="shared" si="40"/>
        <v>346</v>
      </c>
      <c r="AA378" s="60">
        <f t="shared" si="41"/>
        <v>6346</v>
      </c>
    </row>
    <row r="379" spans="1:27">
      <c r="A379" s="83" t="str">
        <f t="shared" si="35"/>
        <v>19H006A-DESERT</v>
      </c>
      <c r="B379" s="83" t="str">
        <f t="shared" si="36"/>
        <v>06-347-</v>
      </c>
      <c r="C379" s="106" t="s">
        <v>2381</v>
      </c>
      <c r="G379" s="106" t="s">
        <v>2055</v>
      </c>
      <c r="S379" s="83" t="str">
        <f t="shared" si="37"/>
        <v>19H006A-DESERT</v>
      </c>
      <c r="T379" s="83" t="str">
        <f t="shared" si="38"/>
        <v>19H006A-DESERT</v>
      </c>
      <c r="Y379" s="60">
        <f t="shared" si="39"/>
        <v>6</v>
      </c>
      <c r="Z379" s="49">
        <f t="shared" si="40"/>
        <v>347</v>
      </c>
      <c r="AA379" s="60">
        <f t="shared" si="41"/>
        <v>6347</v>
      </c>
    </row>
    <row r="380" spans="1:27">
      <c r="A380" s="83" t="str">
        <f t="shared" si="35"/>
        <v>19H006A-HAWAO</v>
      </c>
      <c r="B380" s="83" t="str">
        <f t="shared" si="36"/>
        <v>06-348-</v>
      </c>
      <c r="C380" s="106" t="s">
        <v>2382</v>
      </c>
      <c r="G380" s="106" t="s">
        <v>2056</v>
      </c>
      <c r="S380" s="83" t="str">
        <f t="shared" si="37"/>
        <v>19H006A-HAWAO</v>
      </c>
      <c r="T380" s="83" t="str">
        <f t="shared" si="38"/>
        <v>19H006A-HAWAO</v>
      </c>
      <c r="Y380" s="60">
        <f t="shared" si="39"/>
        <v>6</v>
      </c>
      <c r="Z380" s="49">
        <f t="shared" si="40"/>
        <v>348</v>
      </c>
      <c r="AA380" s="60">
        <f t="shared" si="41"/>
        <v>6348</v>
      </c>
    </row>
    <row r="381" spans="1:27">
      <c r="A381" s="83" t="str">
        <f t="shared" si="35"/>
        <v>19H006A-TXO</v>
      </c>
      <c r="B381" s="83" t="str">
        <f t="shared" si="36"/>
        <v>06-349-</v>
      </c>
      <c r="C381" s="106" t="s">
        <v>2383</v>
      </c>
      <c r="G381" s="106" t="s">
        <v>2057</v>
      </c>
      <c r="S381" s="83" t="str">
        <f t="shared" si="37"/>
        <v>19H006A-TXO</v>
      </c>
      <c r="T381" s="83" t="str">
        <f t="shared" si="38"/>
        <v>19H006A-TXO</v>
      </c>
      <c r="Y381" s="60">
        <f t="shared" si="39"/>
        <v>6</v>
      </c>
      <c r="Z381" s="49">
        <f t="shared" si="40"/>
        <v>349</v>
      </c>
      <c r="AA381" s="60">
        <f t="shared" si="41"/>
        <v>6349</v>
      </c>
    </row>
    <row r="382" spans="1:27">
      <c r="A382" s="83" t="str">
        <f t="shared" si="35"/>
        <v>20001A-BADCO</v>
      </c>
      <c r="B382" s="83" t="str">
        <f t="shared" si="36"/>
        <v>06-350-</v>
      </c>
      <c r="C382" s="106" t="s">
        <v>2384</v>
      </c>
      <c r="G382" s="106" t="s">
        <v>2059</v>
      </c>
      <c r="S382" s="83" t="str">
        <f t="shared" si="37"/>
        <v>20001A-BADCO</v>
      </c>
      <c r="T382" s="83" t="str">
        <f t="shared" si="38"/>
        <v>20001A-BADCO</v>
      </c>
      <c r="Y382" s="60">
        <f t="shared" si="39"/>
        <v>6</v>
      </c>
      <c r="Z382" s="49">
        <f t="shared" si="40"/>
        <v>350</v>
      </c>
      <c r="AA382" s="60">
        <f t="shared" si="41"/>
        <v>6350</v>
      </c>
    </row>
    <row r="383" spans="1:27">
      <c r="A383" s="83" t="str">
        <f t="shared" si="35"/>
        <v>20001A-BOWI</v>
      </c>
      <c r="B383" s="83" t="str">
        <f t="shared" si="36"/>
        <v>06-351-</v>
      </c>
      <c r="C383" s="106" t="s">
        <v>2385</v>
      </c>
      <c r="G383" s="106" t="s">
        <v>2060</v>
      </c>
      <c r="S383" s="83" t="str">
        <f t="shared" si="37"/>
        <v>20001A-BOWI</v>
      </c>
      <c r="T383" s="83" t="str">
        <f t="shared" si="38"/>
        <v>20001A-BOWI</v>
      </c>
      <c r="Y383" s="60">
        <f t="shared" si="39"/>
        <v>6</v>
      </c>
      <c r="Z383" s="49">
        <f t="shared" si="40"/>
        <v>351</v>
      </c>
      <c r="AA383" s="60">
        <f t="shared" si="41"/>
        <v>6351</v>
      </c>
    </row>
    <row r="384" spans="1:27">
      <c r="A384" s="83" t="str">
        <f t="shared" si="35"/>
        <v>20001A-MILES</v>
      </c>
      <c r="B384" s="83" t="str">
        <f t="shared" si="36"/>
        <v>06-352-</v>
      </c>
      <c r="C384" s="106" t="s">
        <v>2386</v>
      </c>
      <c r="G384" s="106" t="s">
        <v>2061</v>
      </c>
      <c r="S384" s="83" t="str">
        <f t="shared" si="37"/>
        <v>20001A-MILES</v>
      </c>
      <c r="T384" s="83" t="str">
        <f t="shared" si="38"/>
        <v>20001A-MILES</v>
      </c>
      <c r="Y384" s="60">
        <f t="shared" si="39"/>
        <v>6</v>
      </c>
      <c r="Z384" s="49">
        <f t="shared" si="40"/>
        <v>352</v>
      </c>
      <c r="AA384" s="60">
        <f t="shared" si="41"/>
        <v>6352</v>
      </c>
    </row>
    <row r="385" spans="1:27">
      <c r="A385" s="83" t="str">
        <f t="shared" si="35"/>
        <v>20001A-PINKF</v>
      </c>
      <c r="B385" s="83" t="str">
        <f t="shared" si="36"/>
        <v>06-353-</v>
      </c>
      <c r="C385" s="106" t="s">
        <v>2387</v>
      </c>
      <c r="G385" s="106" t="s">
        <v>2063</v>
      </c>
      <c r="S385" s="83" t="str">
        <f t="shared" si="37"/>
        <v>20001A-PINKF</v>
      </c>
      <c r="T385" s="83" t="str">
        <f t="shared" si="38"/>
        <v>20001A-PINKF</v>
      </c>
      <c r="Y385" s="60">
        <f t="shared" si="39"/>
        <v>6</v>
      </c>
      <c r="Z385" s="49">
        <f t="shared" si="40"/>
        <v>353</v>
      </c>
      <c r="AA385" s="60">
        <f t="shared" si="41"/>
        <v>6353</v>
      </c>
    </row>
    <row r="386" spans="1:27">
      <c r="A386" s="83" t="str">
        <f t="shared" si="35"/>
        <v>20001A-POLICE</v>
      </c>
      <c r="B386" s="83" t="str">
        <f t="shared" si="36"/>
        <v>06-354-</v>
      </c>
      <c r="C386" s="106" t="s">
        <v>2388</v>
      </c>
      <c r="G386" s="106" t="s">
        <v>2064</v>
      </c>
      <c r="S386" s="83" t="str">
        <f t="shared" si="37"/>
        <v>20001A-POLICE</v>
      </c>
      <c r="T386" s="83" t="str">
        <f t="shared" si="38"/>
        <v>20001A-POLICE</v>
      </c>
      <c r="Y386" s="60">
        <f t="shared" si="39"/>
        <v>6</v>
      </c>
      <c r="Z386" s="49">
        <f t="shared" si="40"/>
        <v>354</v>
      </c>
      <c r="AA386" s="60">
        <f t="shared" si="41"/>
        <v>6354</v>
      </c>
    </row>
    <row r="387" spans="1:27">
      <c r="A387" s="83" t="str">
        <f t="shared" ref="A387:A450" si="42">IF(G387&amp;Q387&lt;&gt;"",S387&amp;Q387,"")</f>
        <v>20001A-SBEAR</v>
      </c>
      <c r="B387" s="83" t="str">
        <f t="shared" ref="B387:B450" si="43">IF(C387&lt;&gt;"",LEFT(C387,9),"")</f>
        <v>06-355-</v>
      </c>
      <c r="C387" s="106" t="s">
        <v>2389</v>
      </c>
      <c r="G387" s="106" t="s">
        <v>2066</v>
      </c>
      <c r="S387" s="83" t="str">
        <f t="shared" ref="S387:S450" si="44">IF(G387&lt;&gt;"",IF(StyleSpaceSplit,IFERROR(IF(FIND(" ",G387)&gt;=1,MID(G387,1,FIND(" ",G387)-1),G387),G387),G387),"")</f>
        <v>20001A-SBEAR</v>
      </c>
      <c r="T387" s="83" t="str">
        <f t="shared" ref="T387:T450" si="45">IF(A387&lt;&gt;"",IFERROR(IF(FIND(" ",G387)&gt;=1,MID(G387,FIND(" ",G387)+1,LEN(G387)),""),G387),"")</f>
        <v>20001A-SBEAR</v>
      </c>
      <c r="Y387" s="60">
        <f t="shared" ref="Y387:Y450" si="46">IFERROR(VALUE(MID($C387,1,2)),0)</f>
        <v>6</v>
      </c>
      <c r="Z387" s="49">
        <f t="shared" ref="Z387:Z450" si="47">IFERROR(VALUE(MID($C387,4,3)),0)</f>
        <v>355</v>
      </c>
      <c r="AA387" s="60">
        <f t="shared" ref="AA387:AA450" si="48">VALUE(RIGHT("00"&amp;Y387,2)&amp;RIGHT("000"&amp;Z387,3))</f>
        <v>6355</v>
      </c>
    </row>
    <row r="388" spans="1:27">
      <c r="A388" s="83" t="str">
        <f t="shared" si="42"/>
        <v>20001A-WOODSTK</v>
      </c>
      <c r="B388" s="83" t="str">
        <f t="shared" si="43"/>
        <v>06-356-</v>
      </c>
      <c r="C388" s="106" t="s">
        <v>2390</v>
      </c>
      <c r="G388" s="106" t="s">
        <v>2067</v>
      </c>
      <c r="S388" s="83" t="str">
        <f t="shared" si="44"/>
        <v>20001A-WOODSTK</v>
      </c>
      <c r="T388" s="83" t="str">
        <f t="shared" si="45"/>
        <v>20001A-WOODSTK</v>
      </c>
      <c r="Y388" s="60">
        <f t="shared" si="46"/>
        <v>6</v>
      </c>
      <c r="Z388" s="49">
        <f t="shared" si="47"/>
        <v>356</v>
      </c>
      <c r="AA388" s="60">
        <f t="shared" si="48"/>
        <v>6356</v>
      </c>
    </row>
    <row r="389" spans="1:27">
      <c r="A389" s="83" t="str">
        <f t="shared" si="42"/>
        <v>20001B-ACDC</v>
      </c>
      <c r="B389" s="83" t="str">
        <f t="shared" si="43"/>
        <v>06-357-</v>
      </c>
      <c r="C389" s="106" t="s">
        <v>2391</v>
      </c>
      <c r="G389" s="106" t="s">
        <v>2068</v>
      </c>
      <c r="S389" s="83" t="str">
        <f t="shared" si="44"/>
        <v>20001B-ACDC</v>
      </c>
      <c r="T389" s="83" t="str">
        <f t="shared" si="45"/>
        <v>20001B-ACDC</v>
      </c>
      <c r="Y389" s="60">
        <f t="shared" si="46"/>
        <v>6</v>
      </c>
      <c r="Z389" s="49">
        <f t="shared" si="47"/>
        <v>357</v>
      </c>
      <c r="AA389" s="60">
        <f t="shared" si="48"/>
        <v>6357</v>
      </c>
    </row>
    <row r="390" spans="1:27">
      <c r="A390" s="83" t="str">
        <f t="shared" si="42"/>
        <v>20001B-BOWI</v>
      </c>
      <c r="B390" s="83" t="str">
        <f t="shared" si="43"/>
        <v>06-358-</v>
      </c>
      <c r="C390" s="106" t="s">
        <v>2392</v>
      </c>
      <c r="G390" s="106" t="s">
        <v>2069</v>
      </c>
      <c r="S390" s="83" t="str">
        <f t="shared" si="44"/>
        <v>20001B-BOWI</v>
      </c>
      <c r="T390" s="83" t="str">
        <f t="shared" si="45"/>
        <v>20001B-BOWI</v>
      </c>
      <c r="Y390" s="60">
        <f t="shared" si="46"/>
        <v>6</v>
      </c>
      <c r="Z390" s="49">
        <f t="shared" si="47"/>
        <v>358</v>
      </c>
      <c r="AA390" s="60">
        <f t="shared" si="48"/>
        <v>6358</v>
      </c>
    </row>
    <row r="391" spans="1:27">
      <c r="A391" s="83" t="str">
        <f t="shared" si="42"/>
        <v>20001B-PINKF</v>
      </c>
      <c r="B391" s="83" t="str">
        <f t="shared" si="43"/>
        <v>06-359-</v>
      </c>
      <c r="C391" s="106" t="s">
        <v>2393</v>
      </c>
      <c r="G391" s="106" t="s">
        <v>2070</v>
      </c>
      <c r="S391" s="83" t="str">
        <f t="shared" si="44"/>
        <v>20001B-PINKF</v>
      </c>
      <c r="T391" s="83" t="str">
        <f t="shared" si="45"/>
        <v>20001B-PINKF</v>
      </c>
      <c r="Y391" s="60">
        <f t="shared" si="46"/>
        <v>6</v>
      </c>
      <c r="Z391" s="49">
        <f t="shared" si="47"/>
        <v>359</v>
      </c>
      <c r="AA391" s="60">
        <f t="shared" si="48"/>
        <v>6359</v>
      </c>
    </row>
    <row r="392" spans="1:27">
      <c r="A392" s="83" t="str">
        <f t="shared" si="42"/>
        <v>20001B-SBEAR</v>
      </c>
      <c r="B392" s="83" t="str">
        <f t="shared" si="43"/>
        <v>06-360-</v>
      </c>
      <c r="C392" s="106" t="s">
        <v>2394</v>
      </c>
      <c r="G392" s="106" t="s">
        <v>2071</v>
      </c>
      <c r="S392" s="83" t="str">
        <f t="shared" si="44"/>
        <v>20001B-SBEAR</v>
      </c>
      <c r="T392" s="83" t="str">
        <f t="shared" si="45"/>
        <v>20001B-SBEAR</v>
      </c>
      <c r="Y392" s="60">
        <f t="shared" si="46"/>
        <v>6</v>
      </c>
      <c r="Z392" s="49">
        <f t="shared" si="47"/>
        <v>360</v>
      </c>
      <c r="AA392" s="60">
        <f t="shared" si="48"/>
        <v>6360</v>
      </c>
    </row>
    <row r="393" spans="1:27">
      <c r="A393" s="83" t="str">
        <f t="shared" si="42"/>
        <v>21005A-ASE</v>
      </c>
      <c r="B393" s="83" t="str">
        <f t="shared" si="43"/>
        <v>06-361-</v>
      </c>
      <c r="C393" s="106" t="s">
        <v>2395</v>
      </c>
      <c r="G393" s="106" t="s">
        <v>2072</v>
      </c>
      <c r="S393" s="83" t="str">
        <f t="shared" si="44"/>
        <v>21005A-ASE</v>
      </c>
      <c r="T393" s="83" t="str">
        <f t="shared" si="45"/>
        <v>21005A-ASE</v>
      </c>
      <c r="Y393" s="60">
        <f t="shared" si="46"/>
        <v>6</v>
      </c>
      <c r="Z393" s="49">
        <f t="shared" si="47"/>
        <v>361</v>
      </c>
      <c r="AA393" s="60">
        <f t="shared" si="48"/>
        <v>6361</v>
      </c>
    </row>
    <row r="394" spans="1:27">
      <c r="A394" s="83" t="str">
        <f t="shared" si="42"/>
        <v>21005A-BEG</v>
      </c>
      <c r="B394" s="83" t="str">
        <f t="shared" si="43"/>
        <v>06-362-</v>
      </c>
      <c r="C394" s="106" t="s">
        <v>2396</v>
      </c>
      <c r="G394" s="106" t="s">
        <v>2075</v>
      </c>
      <c r="S394" s="83" t="str">
        <f t="shared" si="44"/>
        <v>21005A-BEG</v>
      </c>
      <c r="T394" s="83" t="str">
        <f t="shared" si="45"/>
        <v>21005A-BEG</v>
      </c>
      <c r="Y394" s="60">
        <f t="shared" si="46"/>
        <v>6</v>
      </c>
      <c r="Z394" s="49">
        <f t="shared" si="47"/>
        <v>362</v>
      </c>
      <c r="AA394" s="60">
        <f t="shared" si="48"/>
        <v>6362</v>
      </c>
    </row>
    <row r="395" spans="1:27">
      <c r="A395" s="83" t="str">
        <f t="shared" si="42"/>
        <v>21005A-BRG</v>
      </c>
      <c r="B395" s="83" t="str">
        <f t="shared" si="43"/>
        <v>06-363-</v>
      </c>
      <c r="C395" s="106" t="s">
        <v>2397</v>
      </c>
      <c r="G395" s="106" t="s">
        <v>2076</v>
      </c>
      <c r="S395" s="83" t="str">
        <f t="shared" si="44"/>
        <v>21005A-BRG</v>
      </c>
      <c r="T395" s="83" t="str">
        <f t="shared" si="45"/>
        <v>21005A-BRG</v>
      </c>
      <c r="Y395" s="60">
        <f t="shared" si="46"/>
        <v>6</v>
      </c>
      <c r="Z395" s="49">
        <f t="shared" si="47"/>
        <v>363</v>
      </c>
      <c r="AA395" s="60">
        <f t="shared" si="48"/>
        <v>6363</v>
      </c>
    </row>
    <row r="396" spans="1:27">
      <c r="A396" s="83" t="str">
        <f t="shared" si="42"/>
        <v>21005A-CCU</v>
      </c>
      <c r="B396" s="83" t="str">
        <f t="shared" si="43"/>
        <v>06-364-</v>
      </c>
      <c r="C396" s="106" t="s">
        <v>2398</v>
      </c>
      <c r="G396" s="106" t="s">
        <v>2079</v>
      </c>
      <c r="S396" s="83" t="str">
        <f t="shared" si="44"/>
        <v>21005A-CCU</v>
      </c>
      <c r="T396" s="83" t="str">
        <f t="shared" si="45"/>
        <v>21005A-CCU</v>
      </c>
      <c r="Y396" s="60">
        <f t="shared" si="46"/>
        <v>6</v>
      </c>
      <c r="Z396" s="49">
        <f t="shared" si="47"/>
        <v>364</v>
      </c>
      <c r="AA396" s="60">
        <f t="shared" si="48"/>
        <v>6364</v>
      </c>
    </row>
    <row r="397" spans="1:27">
      <c r="A397" s="83" t="str">
        <f t="shared" si="42"/>
        <v>21005A-DWE</v>
      </c>
      <c r="B397" s="83" t="str">
        <f t="shared" si="43"/>
        <v>06-365-</v>
      </c>
      <c r="C397" s="106" t="s">
        <v>2399</v>
      </c>
      <c r="G397" s="106" t="s">
        <v>2083</v>
      </c>
      <c r="S397" s="83" t="str">
        <f t="shared" si="44"/>
        <v>21005A-DWE</v>
      </c>
      <c r="T397" s="83" t="str">
        <f t="shared" si="45"/>
        <v>21005A-DWE</v>
      </c>
      <c r="Y397" s="60">
        <f t="shared" si="46"/>
        <v>6</v>
      </c>
      <c r="Z397" s="49">
        <f t="shared" si="47"/>
        <v>365</v>
      </c>
      <c r="AA397" s="60">
        <f t="shared" si="48"/>
        <v>6365</v>
      </c>
    </row>
    <row r="398" spans="1:27">
      <c r="A398" s="83" t="str">
        <f t="shared" si="42"/>
        <v>21005A-LAK</v>
      </c>
      <c r="B398" s="83" t="str">
        <f t="shared" si="43"/>
        <v>06-366-</v>
      </c>
      <c r="C398" s="106" t="s">
        <v>2400</v>
      </c>
      <c r="G398" s="106" t="s">
        <v>2086</v>
      </c>
      <c r="S398" s="83" t="str">
        <f t="shared" si="44"/>
        <v>21005A-LAK</v>
      </c>
      <c r="T398" s="83" t="str">
        <f t="shared" si="45"/>
        <v>21005A-LAK</v>
      </c>
      <c r="Y398" s="60">
        <f t="shared" si="46"/>
        <v>6</v>
      </c>
      <c r="Z398" s="49">
        <f t="shared" si="47"/>
        <v>366</v>
      </c>
      <c r="AA398" s="60">
        <f t="shared" si="48"/>
        <v>6366</v>
      </c>
    </row>
    <row r="399" spans="1:27">
      <c r="A399" s="83" t="str">
        <f t="shared" si="42"/>
        <v>21005A-LOS</v>
      </c>
      <c r="B399" s="83" t="str">
        <f t="shared" si="43"/>
        <v>06-367-</v>
      </c>
      <c r="C399" s="106" t="s">
        <v>2401</v>
      </c>
      <c r="G399" s="106" t="s">
        <v>2087</v>
      </c>
      <c r="S399" s="83" t="str">
        <f t="shared" si="44"/>
        <v>21005A-LOS</v>
      </c>
      <c r="T399" s="83" t="str">
        <f t="shared" si="45"/>
        <v>21005A-LOS</v>
      </c>
      <c r="Y399" s="60">
        <f t="shared" si="46"/>
        <v>6</v>
      </c>
      <c r="Z399" s="49">
        <f t="shared" si="47"/>
        <v>367</v>
      </c>
      <c r="AA399" s="60">
        <f t="shared" si="48"/>
        <v>6367</v>
      </c>
    </row>
    <row r="400" spans="1:27">
      <c r="A400" s="83" t="str">
        <f t="shared" si="42"/>
        <v>21005A-MMAR</v>
      </c>
      <c r="B400" s="83" t="str">
        <f t="shared" si="43"/>
        <v>06-368-</v>
      </c>
      <c r="C400" s="106" t="s">
        <v>2402</v>
      </c>
      <c r="G400" s="106" t="s">
        <v>2088</v>
      </c>
      <c r="S400" s="83" t="str">
        <f t="shared" si="44"/>
        <v>21005A-MMAR</v>
      </c>
      <c r="T400" s="83" t="str">
        <f t="shared" si="45"/>
        <v>21005A-MMAR</v>
      </c>
      <c r="Y400" s="60">
        <f t="shared" si="46"/>
        <v>6</v>
      </c>
      <c r="Z400" s="49">
        <f t="shared" si="47"/>
        <v>368</v>
      </c>
      <c r="AA400" s="60">
        <f t="shared" si="48"/>
        <v>6368</v>
      </c>
    </row>
    <row r="401" spans="1:27">
      <c r="A401" s="83" t="str">
        <f t="shared" si="42"/>
        <v>21005A-NBY</v>
      </c>
      <c r="B401" s="83" t="str">
        <f t="shared" si="43"/>
        <v>06-369-</v>
      </c>
      <c r="C401" s="106" t="s">
        <v>2403</v>
      </c>
      <c r="G401" s="106" t="s">
        <v>2089</v>
      </c>
      <c r="S401" s="83" t="str">
        <f t="shared" si="44"/>
        <v>21005A-NBY</v>
      </c>
      <c r="T401" s="83" t="str">
        <f t="shared" si="45"/>
        <v>21005A-NBY</v>
      </c>
      <c r="Y401" s="60">
        <f t="shared" si="46"/>
        <v>6</v>
      </c>
      <c r="Z401" s="49">
        <f t="shared" si="47"/>
        <v>369</v>
      </c>
      <c r="AA401" s="60">
        <f t="shared" si="48"/>
        <v>6369</v>
      </c>
    </row>
    <row r="402" spans="1:27">
      <c r="A402" s="83" t="str">
        <f t="shared" si="42"/>
        <v>21005A-NHL</v>
      </c>
      <c r="B402" s="83" t="str">
        <f t="shared" si="43"/>
        <v>06-370-</v>
      </c>
      <c r="C402" s="106" t="s">
        <v>2404</v>
      </c>
      <c r="G402" s="106" t="s">
        <v>2090</v>
      </c>
      <c r="S402" s="83" t="str">
        <f t="shared" si="44"/>
        <v>21005A-NHL</v>
      </c>
      <c r="T402" s="83" t="str">
        <f t="shared" si="45"/>
        <v>21005A-NHL</v>
      </c>
      <c r="Y402" s="60">
        <f t="shared" si="46"/>
        <v>6</v>
      </c>
      <c r="Z402" s="49">
        <f t="shared" si="47"/>
        <v>370</v>
      </c>
      <c r="AA402" s="60">
        <f t="shared" si="48"/>
        <v>6370</v>
      </c>
    </row>
    <row r="403" spans="1:27">
      <c r="A403" s="83" t="str">
        <f t="shared" si="42"/>
        <v>21005C-LOS</v>
      </c>
      <c r="B403" s="83" t="str">
        <f t="shared" si="43"/>
        <v>06-371-</v>
      </c>
      <c r="C403" s="106" t="s">
        <v>2405</v>
      </c>
      <c r="G403" s="106" t="s">
        <v>2095</v>
      </c>
      <c r="S403" s="83" t="str">
        <f t="shared" si="44"/>
        <v>21005C-LOS</v>
      </c>
      <c r="T403" s="83" t="str">
        <f t="shared" si="45"/>
        <v>21005C-LOS</v>
      </c>
      <c r="Y403" s="60">
        <f t="shared" si="46"/>
        <v>6</v>
      </c>
      <c r="Z403" s="49">
        <f t="shared" si="47"/>
        <v>371</v>
      </c>
      <c r="AA403" s="60">
        <f t="shared" si="48"/>
        <v>6371</v>
      </c>
    </row>
    <row r="404" spans="1:27">
      <c r="A404" s="83" t="str">
        <f t="shared" si="42"/>
        <v>21010A-CHEVELLE</v>
      </c>
      <c r="B404" s="83" t="str">
        <f t="shared" si="43"/>
        <v>06-372-</v>
      </c>
      <c r="C404" s="106" t="s">
        <v>2406</v>
      </c>
      <c r="G404" s="106" t="s">
        <v>2098</v>
      </c>
      <c r="S404" s="83" t="str">
        <f t="shared" si="44"/>
        <v>21010A-CHEVELLE</v>
      </c>
      <c r="T404" s="83" t="str">
        <f t="shared" si="45"/>
        <v>21010A-CHEVELLE</v>
      </c>
      <c r="Y404" s="60">
        <f t="shared" si="46"/>
        <v>6</v>
      </c>
      <c r="Z404" s="49">
        <f t="shared" si="47"/>
        <v>372</v>
      </c>
      <c r="AA404" s="60">
        <f t="shared" si="48"/>
        <v>6372</v>
      </c>
    </row>
    <row r="405" spans="1:27">
      <c r="A405" s="83" t="str">
        <f t="shared" si="42"/>
        <v>21014A-CA</v>
      </c>
      <c r="B405" s="83" t="str">
        <f t="shared" si="43"/>
        <v>06-373-</v>
      </c>
      <c r="C405" s="106" t="s">
        <v>2407</v>
      </c>
      <c r="G405" s="106" t="s">
        <v>2099</v>
      </c>
      <c r="S405" s="83" t="str">
        <f t="shared" si="44"/>
        <v>21014A-CA</v>
      </c>
      <c r="T405" s="83" t="str">
        <f t="shared" si="45"/>
        <v>21014A-CA</v>
      </c>
      <c r="Y405" s="60">
        <f t="shared" si="46"/>
        <v>6</v>
      </c>
      <c r="Z405" s="49">
        <f t="shared" si="47"/>
        <v>373</v>
      </c>
      <c r="AA405" s="60">
        <f t="shared" si="48"/>
        <v>6373</v>
      </c>
    </row>
    <row r="406" spans="1:27">
      <c r="A406" s="83" t="str">
        <f t="shared" si="42"/>
        <v>21015A-ARCADE</v>
      </c>
      <c r="B406" s="83" t="str">
        <f t="shared" si="43"/>
        <v>06-374-</v>
      </c>
      <c r="C406" s="106" t="s">
        <v>2408</v>
      </c>
      <c r="G406" s="106" t="s">
        <v>2100</v>
      </c>
      <c r="S406" s="83" t="str">
        <f t="shared" si="44"/>
        <v>21015A-ARCADE</v>
      </c>
      <c r="T406" s="83" t="str">
        <f t="shared" si="45"/>
        <v>21015A-ARCADE</v>
      </c>
      <c r="Y406" s="60">
        <f t="shared" si="46"/>
        <v>6</v>
      </c>
      <c r="Z406" s="49">
        <f t="shared" si="47"/>
        <v>374</v>
      </c>
      <c r="AA406" s="60">
        <f t="shared" si="48"/>
        <v>6374</v>
      </c>
    </row>
    <row r="407" spans="1:27">
      <c r="A407" s="83" t="str">
        <f t="shared" si="42"/>
        <v>21015A-CALI</v>
      </c>
      <c r="B407" s="83" t="str">
        <f t="shared" si="43"/>
        <v>06-375-</v>
      </c>
      <c r="C407" s="106" t="s">
        <v>2409</v>
      </c>
      <c r="G407" s="106" t="s">
        <v>2101</v>
      </c>
      <c r="S407" s="83" t="str">
        <f t="shared" si="44"/>
        <v>21015A-CALI</v>
      </c>
      <c r="T407" s="83" t="str">
        <f t="shared" si="45"/>
        <v>21015A-CALI</v>
      </c>
      <c r="Y407" s="60">
        <f t="shared" si="46"/>
        <v>6</v>
      </c>
      <c r="Z407" s="49">
        <f t="shared" si="47"/>
        <v>375</v>
      </c>
      <c r="AA407" s="60">
        <f t="shared" si="48"/>
        <v>6375</v>
      </c>
    </row>
    <row r="408" spans="1:27">
      <c r="A408" s="83" t="str">
        <f t="shared" si="42"/>
        <v>21015A-HTC</v>
      </c>
      <c r="B408" s="83" t="str">
        <f t="shared" si="43"/>
        <v>06-376-</v>
      </c>
      <c r="C408" s="106" t="s">
        <v>2410</v>
      </c>
      <c r="G408" s="106" t="s">
        <v>2102</v>
      </c>
      <c r="S408" s="83" t="str">
        <f t="shared" si="44"/>
        <v>21015A-HTC</v>
      </c>
      <c r="T408" s="83" t="str">
        <f t="shared" si="45"/>
        <v>21015A-HTC</v>
      </c>
      <c r="Y408" s="60">
        <f t="shared" si="46"/>
        <v>6</v>
      </c>
      <c r="Z408" s="49">
        <f t="shared" si="47"/>
        <v>376</v>
      </c>
      <c r="AA408" s="60">
        <f t="shared" si="48"/>
        <v>6376</v>
      </c>
    </row>
    <row r="409" spans="1:27">
      <c r="A409" s="83" t="str">
        <f t="shared" si="42"/>
        <v>21015A-HTI</v>
      </c>
      <c r="B409" s="83" t="str">
        <f t="shared" si="43"/>
        <v>06-377-</v>
      </c>
      <c r="C409" s="106" t="s">
        <v>2411</v>
      </c>
      <c r="G409" s="106" t="s">
        <v>2103</v>
      </c>
      <c r="S409" s="83" t="str">
        <f t="shared" si="44"/>
        <v>21015A-HTI</v>
      </c>
      <c r="T409" s="83" t="str">
        <f t="shared" si="45"/>
        <v>21015A-HTI</v>
      </c>
      <c r="Y409" s="60">
        <f t="shared" si="46"/>
        <v>6</v>
      </c>
      <c r="Z409" s="49">
        <f t="shared" si="47"/>
        <v>377</v>
      </c>
      <c r="AA409" s="60">
        <f t="shared" si="48"/>
        <v>6377</v>
      </c>
    </row>
    <row r="410" spans="1:27">
      <c r="A410" s="83" t="str">
        <f t="shared" si="42"/>
        <v>21015A-KING</v>
      </c>
      <c r="B410" s="83" t="str">
        <f t="shared" si="43"/>
        <v>06-378-</v>
      </c>
      <c r="C410" s="106" t="s">
        <v>2412</v>
      </c>
      <c r="G410" s="106" t="s">
        <v>2104</v>
      </c>
      <c r="S410" s="83" t="str">
        <f t="shared" si="44"/>
        <v>21015A-KING</v>
      </c>
      <c r="T410" s="83" t="str">
        <f t="shared" si="45"/>
        <v>21015A-KING</v>
      </c>
      <c r="Y410" s="60">
        <f t="shared" si="46"/>
        <v>6</v>
      </c>
      <c r="Z410" s="49">
        <f t="shared" si="47"/>
        <v>378</v>
      </c>
      <c r="AA410" s="60">
        <f t="shared" si="48"/>
        <v>6378</v>
      </c>
    </row>
    <row r="411" spans="1:27">
      <c r="A411" s="83" t="str">
        <f t="shared" si="42"/>
        <v>21015A-KNIGHT</v>
      </c>
      <c r="B411" s="83" t="str">
        <f t="shared" si="43"/>
        <v>06-379-</v>
      </c>
      <c r="C411" s="106" t="s">
        <v>2413</v>
      </c>
      <c r="G411" s="106" t="s">
        <v>2105</v>
      </c>
      <c r="S411" s="83" t="str">
        <f t="shared" si="44"/>
        <v>21015A-KNIGHT</v>
      </c>
      <c r="T411" s="83" t="str">
        <f t="shared" si="45"/>
        <v>21015A-KNIGHT</v>
      </c>
      <c r="Y411" s="60">
        <f t="shared" si="46"/>
        <v>6</v>
      </c>
      <c r="Z411" s="49">
        <f t="shared" si="47"/>
        <v>379</v>
      </c>
      <c r="AA411" s="60">
        <f t="shared" si="48"/>
        <v>6379</v>
      </c>
    </row>
    <row r="412" spans="1:27">
      <c r="A412" s="83" t="str">
        <f t="shared" si="42"/>
        <v>21015A-PEAC</v>
      </c>
      <c r="B412" s="83" t="str">
        <f t="shared" si="43"/>
        <v>06-380-</v>
      </c>
      <c r="C412" s="106" t="s">
        <v>2414</v>
      </c>
      <c r="G412" s="106" t="s">
        <v>2106</v>
      </c>
      <c r="S412" s="83" t="str">
        <f t="shared" si="44"/>
        <v>21015A-PEAC</v>
      </c>
      <c r="T412" s="83" t="str">
        <f t="shared" si="45"/>
        <v>21015A-PEAC</v>
      </c>
      <c r="Y412" s="60">
        <f t="shared" si="46"/>
        <v>6</v>
      </c>
      <c r="Z412" s="49">
        <f t="shared" si="47"/>
        <v>380</v>
      </c>
      <c r="AA412" s="60">
        <f t="shared" si="48"/>
        <v>6380</v>
      </c>
    </row>
    <row r="413" spans="1:27">
      <c r="A413" s="83" t="str">
        <f t="shared" si="42"/>
        <v>21015A-SAA</v>
      </c>
      <c r="B413" s="83" t="str">
        <f t="shared" si="43"/>
        <v>06-381-</v>
      </c>
      <c r="C413" s="106" t="s">
        <v>2415</v>
      </c>
      <c r="G413" s="106" t="s">
        <v>2107</v>
      </c>
      <c r="S413" s="83" t="str">
        <f t="shared" si="44"/>
        <v>21015A-SAA</v>
      </c>
      <c r="T413" s="83" t="str">
        <f t="shared" si="45"/>
        <v>21015A-SAA</v>
      </c>
      <c r="Y413" s="60">
        <f t="shared" si="46"/>
        <v>6</v>
      </c>
      <c r="Z413" s="49">
        <f t="shared" si="47"/>
        <v>381</v>
      </c>
      <c r="AA413" s="60">
        <f t="shared" si="48"/>
        <v>6381</v>
      </c>
    </row>
    <row r="414" spans="1:27">
      <c r="A414" s="83" t="str">
        <f t="shared" si="42"/>
        <v>21015A-TIKI</v>
      </c>
      <c r="B414" s="83" t="str">
        <f t="shared" si="43"/>
        <v>06-382-</v>
      </c>
      <c r="C414" s="106" t="s">
        <v>2416</v>
      </c>
      <c r="G414" s="106" t="s">
        <v>2108</v>
      </c>
      <c r="S414" s="83" t="str">
        <f t="shared" si="44"/>
        <v>21015A-TIKI</v>
      </c>
      <c r="T414" s="83" t="str">
        <f t="shared" si="45"/>
        <v>21015A-TIKI</v>
      </c>
      <c r="Y414" s="60">
        <f t="shared" si="46"/>
        <v>6</v>
      </c>
      <c r="Z414" s="49">
        <f t="shared" si="47"/>
        <v>382</v>
      </c>
      <c r="AA414" s="60">
        <f t="shared" si="48"/>
        <v>6382</v>
      </c>
    </row>
    <row r="415" spans="1:27">
      <c r="A415" s="83" t="str">
        <f t="shared" si="42"/>
        <v>21015A-YOG</v>
      </c>
      <c r="B415" s="83" t="str">
        <f t="shared" si="43"/>
        <v>06-383-</v>
      </c>
      <c r="C415" s="106" t="s">
        <v>2417</v>
      </c>
      <c r="G415" s="106" t="s">
        <v>2109</v>
      </c>
      <c r="S415" s="83" t="str">
        <f t="shared" si="44"/>
        <v>21015A-YOG</v>
      </c>
      <c r="T415" s="83" t="str">
        <f t="shared" si="45"/>
        <v>21015A-YOG</v>
      </c>
      <c r="Y415" s="60">
        <f t="shared" si="46"/>
        <v>6</v>
      </c>
      <c r="Z415" s="49">
        <f t="shared" si="47"/>
        <v>383</v>
      </c>
      <c r="AA415" s="60">
        <f t="shared" si="48"/>
        <v>6383</v>
      </c>
    </row>
    <row r="416" spans="1:27">
      <c r="A416" s="83" t="str">
        <f t="shared" si="42"/>
        <v>21015B-YOW</v>
      </c>
      <c r="B416" s="83" t="str">
        <f t="shared" si="43"/>
        <v>06-384-</v>
      </c>
      <c r="C416" s="106" t="s">
        <v>2418</v>
      </c>
      <c r="G416" s="106" t="s">
        <v>2110</v>
      </c>
      <c r="S416" s="83" t="str">
        <f t="shared" si="44"/>
        <v>21015B-YOW</v>
      </c>
      <c r="T416" s="83" t="str">
        <f t="shared" si="45"/>
        <v>21015B-YOW</v>
      </c>
      <c r="Y416" s="60">
        <f t="shared" si="46"/>
        <v>6</v>
      </c>
      <c r="Z416" s="49">
        <f t="shared" si="47"/>
        <v>384</v>
      </c>
      <c r="AA416" s="60">
        <f t="shared" si="48"/>
        <v>6384</v>
      </c>
    </row>
    <row r="417" spans="1:27">
      <c r="A417" s="83" t="str">
        <f t="shared" si="42"/>
        <v>21016A-GSMT</v>
      </c>
      <c r="B417" s="83" t="str">
        <f t="shared" si="43"/>
        <v>06-385-</v>
      </c>
      <c r="C417" s="106" t="s">
        <v>2419</v>
      </c>
      <c r="G417" s="106" t="s">
        <v>2111</v>
      </c>
      <c r="S417" s="83" t="str">
        <f t="shared" si="44"/>
        <v>21016A-GSMT</v>
      </c>
      <c r="T417" s="83" t="str">
        <f t="shared" si="45"/>
        <v>21016A-GSMT</v>
      </c>
      <c r="Y417" s="60">
        <f t="shared" si="46"/>
        <v>6</v>
      </c>
      <c r="Z417" s="49">
        <f t="shared" si="47"/>
        <v>385</v>
      </c>
      <c r="AA417" s="60">
        <f t="shared" si="48"/>
        <v>6385</v>
      </c>
    </row>
    <row r="418" spans="1:27">
      <c r="A418" s="83" t="str">
        <f t="shared" si="42"/>
        <v>21016A-OLNP</v>
      </c>
      <c r="B418" s="83" t="str">
        <f t="shared" si="43"/>
        <v>06-386-</v>
      </c>
      <c r="C418" s="106" t="s">
        <v>2420</v>
      </c>
      <c r="G418" s="106" t="s">
        <v>2112</v>
      </c>
      <c r="S418" s="83" t="str">
        <f t="shared" si="44"/>
        <v>21016A-OLNP</v>
      </c>
      <c r="T418" s="83" t="str">
        <f t="shared" si="45"/>
        <v>21016A-OLNP</v>
      </c>
      <c r="Y418" s="60">
        <f t="shared" si="46"/>
        <v>6</v>
      </c>
      <c r="Z418" s="49">
        <f t="shared" si="47"/>
        <v>386</v>
      </c>
      <c r="AA418" s="60">
        <f t="shared" si="48"/>
        <v>6386</v>
      </c>
    </row>
    <row r="419" spans="1:27">
      <c r="A419" s="83" t="str">
        <f t="shared" si="42"/>
        <v>21016A-SAGNP</v>
      </c>
      <c r="B419" s="83" t="str">
        <f t="shared" si="43"/>
        <v>06-387-</v>
      </c>
      <c r="C419" s="106" t="s">
        <v>2421</v>
      </c>
      <c r="G419" s="106" t="s">
        <v>2113</v>
      </c>
      <c r="S419" s="83" t="str">
        <f t="shared" si="44"/>
        <v>21016A-SAGNP</v>
      </c>
      <c r="T419" s="83" t="str">
        <f t="shared" si="45"/>
        <v>21016A-SAGNP</v>
      </c>
      <c r="Y419" s="60">
        <f t="shared" si="46"/>
        <v>6</v>
      </c>
      <c r="Z419" s="49">
        <f t="shared" si="47"/>
        <v>387</v>
      </c>
      <c r="AA419" s="60">
        <f t="shared" si="48"/>
        <v>6387</v>
      </c>
    </row>
    <row r="420" spans="1:27">
      <c r="A420" s="83" t="str">
        <f t="shared" si="42"/>
        <v>21016A-YNP</v>
      </c>
      <c r="B420" s="83" t="str">
        <f t="shared" si="43"/>
        <v>06-388-</v>
      </c>
      <c r="C420" s="106" t="s">
        <v>2422</v>
      </c>
      <c r="G420" s="106" t="s">
        <v>2114</v>
      </c>
      <c r="S420" s="83" t="str">
        <f t="shared" si="44"/>
        <v>21016A-YNP</v>
      </c>
      <c r="T420" s="83" t="str">
        <f t="shared" si="45"/>
        <v>21016A-YNP</v>
      </c>
      <c r="Y420" s="60">
        <f t="shared" si="46"/>
        <v>6</v>
      </c>
      <c r="Z420" s="49">
        <f t="shared" si="47"/>
        <v>388</v>
      </c>
      <c r="AA420" s="60">
        <f t="shared" si="48"/>
        <v>6388</v>
      </c>
    </row>
    <row r="421" spans="1:27">
      <c r="A421" s="83" t="str">
        <f t="shared" si="42"/>
        <v>21019A-ACDC</v>
      </c>
      <c r="B421" s="83" t="str">
        <f t="shared" si="43"/>
        <v>06-389-</v>
      </c>
      <c r="C421" s="106" t="s">
        <v>2423</v>
      </c>
      <c r="G421" s="106" t="s">
        <v>2115</v>
      </c>
      <c r="S421" s="83" t="str">
        <f t="shared" si="44"/>
        <v>21019A-ACDC</v>
      </c>
      <c r="T421" s="83" t="str">
        <f t="shared" si="45"/>
        <v>21019A-ACDC</v>
      </c>
      <c r="Y421" s="60">
        <f t="shared" si="46"/>
        <v>6</v>
      </c>
      <c r="Z421" s="49">
        <f t="shared" si="47"/>
        <v>389</v>
      </c>
      <c r="AA421" s="60">
        <f t="shared" si="48"/>
        <v>6389</v>
      </c>
    </row>
    <row r="422" spans="1:27">
      <c r="A422" s="83" t="str">
        <f t="shared" si="42"/>
        <v>21019A-BOWI</v>
      </c>
      <c r="B422" s="83" t="str">
        <f t="shared" si="43"/>
        <v>06-390-</v>
      </c>
      <c r="C422" s="106" t="s">
        <v>2424</v>
      </c>
      <c r="G422" s="106" t="s">
        <v>2116</v>
      </c>
      <c r="S422" s="83" t="str">
        <f t="shared" si="44"/>
        <v>21019A-BOWI</v>
      </c>
      <c r="T422" s="83" t="str">
        <f t="shared" si="45"/>
        <v>21019A-BOWI</v>
      </c>
      <c r="Y422" s="60">
        <f t="shared" si="46"/>
        <v>6</v>
      </c>
      <c r="Z422" s="49">
        <f t="shared" si="47"/>
        <v>390</v>
      </c>
      <c r="AA422" s="60">
        <f t="shared" si="48"/>
        <v>6390</v>
      </c>
    </row>
    <row r="423" spans="1:27">
      <c r="A423" s="83" t="str">
        <f t="shared" si="42"/>
        <v>21019A-CALI</v>
      </c>
      <c r="B423" s="83" t="str">
        <f t="shared" si="43"/>
        <v>06-391-</v>
      </c>
      <c r="C423" s="106" t="s">
        <v>2425</v>
      </c>
      <c r="G423" s="106" t="s">
        <v>2117</v>
      </c>
      <c r="S423" s="83" t="str">
        <f t="shared" si="44"/>
        <v>21019A-CALI</v>
      </c>
      <c r="T423" s="83" t="str">
        <f t="shared" si="45"/>
        <v>21019A-CALI</v>
      </c>
      <c r="Y423" s="60">
        <f t="shared" si="46"/>
        <v>6</v>
      </c>
      <c r="Z423" s="49">
        <f t="shared" si="47"/>
        <v>391</v>
      </c>
      <c r="AA423" s="60">
        <f t="shared" si="48"/>
        <v>6391</v>
      </c>
    </row>
    <row r="424" spans="1:27">
      <c r="A424" s="83" t="str">
        <f t="shared" si="42"/>
        <v>21019A-CBH</v>
      </c>
      <c r="B424" s="83" t="str">
        <f t="shared" si="43"/>
        <v>06-392-</v>
      </c>
      <c r="C424" s="106" t="s">
        <v>2426</v>
      </c>
      <c r="G424" s="106" t="s">
        <v>2118</v>
      </c>
      <c r="S424" s="83" t="str">
        <f t="shared" si="44"/>
        <v>21019A-CBH</v>
      </c>
      <c r="T424" s="83" t="str">
        <f t="shared" si="45"/>
        <v>21019A-CBH</v>
      </c>
      <c r="Y424" s="60">
        <f t="shared" si="46"/>
        <v>6</v>
      </c>
      <c r="Z424" s="49">
        <f t="shared" si="47"/>
        <v>392</v>
      </c>
      <c r="AA424" s="60">
        <f t="shared" si="48"/>
        <v>6392</v>
      </c>
    </row>
    <row r="425" spans="1:27">
      <c r="A425" s="83" t="str">
        <f t="shared" si="42"/>
        <v>21019A-CHEVY</v>
      </c>
      <c r="B425" s="83" t="str">
        <f t="shared" si="43"/>
        <v>06-393-</v>
      </c>
      <c r="C425" s="106" t="s">
        <v>2427</v>
      </c>
      <c r="G425" s="106" t="s">
        <v>2119</v>
      </c>
      <c r="S425" s="83" t="str">
        <f t="shared" si="44"/>
        <v>21019A-CHEVY</v>
      </c>
      <c r="T425" s="83" t="str">
        <f t="shared" si="45"/>
        <v>21019A-CHEVY</v>
      </c>
      <c r="Y425" s="60">
        <f t="shared" si="46"/>
        <v>6</v>
      </c>
      <c r="Z425" s="49">
        <f t="shared" si="47"/>
        <v>393</v>
      </c>
      <c r="AA425" s="60">
        <f t="shared" si="48"/>
        <v>6393</v>
      </c>
    </row>
    <row r="426" spans="1:27">
      <c r="A426" s="83" t="str">
        <f t="shared" si="42"/>
        <v>21019A-DAS</v>
      </c>
      <c r="B426" s="83" t="str">
        <f t="shared" si="43"/>
        <v>06-394-</v>
      </c>
      <c r="C426" s="106" t="s">
        <v>2428</v>
      </c>
      <c r="G426" s="106" t="s">
        <v>2120</v>
      </c>
      <c r="S426" s="83" t="str">
        <f t="shared" si="44"/>
        <v>21019A-DAS</v>
      </c>
      <c r="T426" s="83" t="str">
        <f t="shared" si="45"/>
        <v>21019A-DAS</v>
      </c>
      <c r="Y426" s="60">
        <f t="shared" si="46"/>
        <v>6</v>
      </c>
      <c r="Z426" s="49">
        <f t="shared" si="47"/>
        <v>394</v>
      </c>
      <c r="AA426" s="60">
        <f t="shared" si="48"/>
        <v>6394</v>
      </c>
    </row>
    <row r="427" spans="1:27">
      <c r="A427" s="83" t="str">
        <f t="shared" si="42"/>
        <v>21019A-FEND</v>
      </c>
      <c r="B427" s="83" t="str">
        <f t="shared" si="43"/>
        <v>06-395-</v>
      </c>
      <c r="C427" s="106" t="s">
        <v>2429</v>
      </c>
      <c r="G427" s="106" t="s">
        <v>2121</v>
      </c>
      <c r="S427" s="83" t="str">
        <f t="shared" si="44"/>
        <v>21019A-FEND</v>
      </c>
      <c r="T427" s="83" t="str">
        <f t="shared" si="45"/>
        <v>21019A-FEND</v>
      </c>
      <c r="Y427" s="60">
        <f t="shared" si="46"/>
        <v>6</v>
      </c>
      <c r="Z427" s="49">
        <f t="shared" si="47"/>
        <v>395</v>
      </c>
      <c r="AA427" s="60">
        <f t="shared" si="48"/>
        <v>6395</v>
      </c>
    </row>
    <row r="428" spans="1:27">
      <c r="A428" s="83" t="str">
        <f t="shared" si="42"/>
        <v>21019A-HTC</v>
      </c>
      <c r="B428" s="83" t="str">
        <f t="shared" si="43"/>
        <v>06-396-</v>
      </c>
      <c r="C428" s="106" t="s">
        <v>2430</v>
      </c>
      <c r="G428" s="106" t="s">
        <v>2122</v>
      </c>
      <c r="S428" s="83" t="str">
        <f t="shared" si="44"/>
        <v>21019A-HTC</v>
      </c>
      <c r="T428" s="83" t="str">
        <f t="shared" si="45"/>
        <v>21019A-HTC</v>
      </c>
      <c r="Y428" s="60">
        <f t="shared" si="46"/>
        <v>6</v>
      </c>
      <c r="Z428" s="49">
        <f t="shared" si="47"/>
        <v>396</v>
      </c>
      <c r="AA428" s="60">
        <f t="shared" si="48"/>
        <v>6396</v>
      </c>
    </row>
    <row r="429" spans="1:27">
      <c r="A429" s="83" t="str">
        <f t="shared" si="42"/>
        <v>21019A-LAK</v>
      </c>
      <c r="B429" s="83" t="str">
        <f t="shared" si="43"/>
        <v>06-397-</v>
      </c>
      <c r="C429" s="106" t="s">
        <v>2431</v>
      </c>
      <c r="G429" s="106" t="s">
        <v>2123</v>
      </c>
      <c r="S429" s="83" t="str">
        <f t="shared" si="44"/>
        <v>21019A-LAK</v>
      </c>
      <c r="T429" s="83" t="str">
        <f t="shared" si="45"/>
        <v>21019A-LAK</v>
      </c>
      <c r="Y429" s="60">
        <f t="shared" si="46"/>
        <v>6</v>
      </c>
      <c r="Z429" s="49">
        <f t="shared" si="47"/>
        <v>397</v>
      </c>
      <c r="AA429" s="60">
        <f t="shared" si="48"/>
        <v>6397</v>
      </c>
    </row>
    <row r="430" spans="1:27">
      <c r="A430" s="83" t="str">
        <f t="shared" si="42"/>
        <v>21019A-LOS</v>
      </c>
      <c r="B430" s="83" t="str">
        <f t="shared" si="43"/>
        <v>06-398-</v>
      </c>
      <c r="C430" s="106" t="s">
        <v>2432</v>
      </c>
      <c r="G430" s="106" t="s">
        <v>2124</v>
      </c>
      <c r="S430" s="83" t="str">
        <f t="shared" si="44"/>
        <v>21019A-LOS</v>
      </c>
      <c r="T430" s="83" t="str">
        <f t="shared" si="45"/>
        <v>21019A-LOS</v>
      </c>
      <c r="Y430" s="60">
        <f t="shared" si="46"/>
        <v>6</v>
      </c>
      <c r="Z430" s="49">
        <f t="shared" si="47"/>
        <v>398</v>
      </c>
      <c r="AA430" s="60">
        <f t="shared" si="48"/>
        <v>6398</v>
      </c>
    </row>
    <row r="431" spans="1:27">
      <c r="A431" s="83" t="str">
        <f t="shared" si="42"/>
        <v>21019A-MNW</v>
      </c>
      <c r="B431" s="83" t="str">
        <f t="shared" si="43"/>
        <v>06-399-</v>
      </c>
      <c r="C431" s="106" t="s">
        <v>2433</v>
      </c>
      <c r="G431" s="106" t="s">
        <v>2125</v>
      </c>
      <c r="S431" s="83" t="str">
        <f t="shared" si="44"/>
        <v>21019A-MNW</v>
      </c>
      <c r="T431" s="83" t="str">
        <f t="shared" si="45"/>
        <v>21019A-MNW</v>
      </c>
      <c r="Y431" s="60">
        <f t="shared" si="46"/>
        <v>6</v>
      </c>
      <c r="Z431" s="49">
        <f t="shared" si="47"/>
        <v>399</v>
      </c>
      <c r="AA431" s="60">
        <f t="shared" si="48"/>
        <v>6399</v>
      </c>
    </row>
    <row r="432" spans="1:27">
      <c r="A432" s="83" t="str">
        <f t="shared" si="42"/>
        <v>21019A-NAP</v>
      </c>
      <c r="B432" s="83" t="str">
        <f t="shared" si="43"/>
        <v>06-400-</v>
      </c>
      <c r="C432" s="106" t="s">
        <v>2434</v>
      </c>
      <c r="G432" s="106" t="s">
        <v>2126</v>
      </c>
      <c r="S432" s="83" t="str">
        <f t="shared" si="44"/>
        <v>21019A-NAP</v>
      </c>
      <c r="T432" s="83" t="str">
        <f t="shared" si="45"/>
        <v>21019A-NAP</v>
      </c>
      <c r="Y432" s="60">
        <f t="shared" si="46"/>
        <v>6</v>
      </c>
      <c r="Z432" s="49">
        <f t="shared" si="47"/>
        <v>400</v>
      </c>
      <c r="AA432" s="60">
        <f t="shared" si="48"/>
        <v>6400</v>
      </c>
    </row>
    <row r="433" spans="1:27">
      <c r="A433" s="83" t="str">
        <f t="shared" si="42"/>
        <v>21019A-NASA</v>
      </c>
      <c r="B433" s="83" t="str">
        <f t="shared" si="43"/>
        <v>06-401-</v>
      </c>
      <c r="C433" s="106" t="s">
        <v>2435</v>
      </c>
      <c r="G433" s="106" t="s">
        <v>2127</v>
      </c>
      <c r="S433" s="83" t="str">
        <f t="shared" si="44"/>
        <v>21019A-NASA</v>
      </c>
      <c r="T433" s="83" t="str">
        <f t="shared" si="45"/>
        <v>21019A-NASA</v>
      </c>
      <c r="Y433" s="60">
        <f t="shared" si="46"/>
        <v>6</v>
      </c>
      <c r="Z433" s="49">
        <f t="shared" si="47"/>
        <v>401</v>
      </c>
      <c r="AA433" s="60">
        <f t="shared" si="48"/>
        <v>6401</v>
      </c>
    </row>
    <row r="434" spans="1:27">
      <c r="A434" s="83" t="str">
        <f t="shared" si="42"/>
        <v>21019A-PCO</v>
      </c>
      <c r="B434" s="83" t="str">
        <f t="shared" si="43"/>
        <v>06-402-</v>
      </c>
      <c r="C434" s="106" t="s">
        <v>2436</v>
      </c>
      <c r="G434" s="106" t="s">
        <v>2128</v>
      </c>
      <c r="S434" s="83" t="str">
        <f t="shared" si="44"/>
        <v>21019A-PCO</v>
      </c>
      <c r="T434" s="83" t="str">
        <f t="shared" si="45"/>
        <v>21019A-PCO</v>
      </c>
      <c r="Y434" s="60">
        <f t="shared" si="46"/>
        <v>6</v>
      </c>
      <c r="Z434" s="49">
        <f t="shared" si="47"/>
        <v>402</v>
      </c>
      <c r="AA434" s="60">
        <f t="shared" si="48"/>
        <v>6402</v>
      </c>
    </row>
    <row r="435" spans="1:27">
      <c r="A435" s="83" t="str">
        <f t="shared" si="42"/>
        <v>21019A-PINKF</v>
      </c>
      <c r="B435" s="83" t="str">
        <f t="shared" si="43"/>
        <v>06-403-</v>
      </c>
      <c r="C435" s="106" t="s">
        <v>2437</v>
      </c>
      <c r="G435" s="106" t="s">
        <v>2129</v>
      </c>
      <c r="S435" s="83" t="str">
        <f t="shared" si="44"/>
        <v>21019A-PINKF</v>
      </c>
      <c r="T435" s="83" t="str">
        <f t="shared" si="45"/>
        <v>21019A-PINKF</v>
      </c>
      <c r="Y435" s="60">
        <f t="shared" si="46"/>
        <v>6</v>
      </c>
      <c r="Z435" s="49">
        <f t="shared" si="47"/>
        <v>403</v>
      </c>
      <c r="AA435" s="60">
        <f t="shared" si="48"/>
        <v>6403</v>
      </c>
    </row>
    <row r="436" spans="1:27">
      <c r="A436" s="83" t="str">
        <f t="shared" si="42"/>
        <v>21019A-QND</v>
      </c>
      <c r="B436" s="83" t="str">
        <f t="shared" si="43"/>
        <v>06-404-</v>
      </c>
      <c r="C436" s="106" t="s">
        <v>2438</v>
      </c>
      <c r="G436" s="106" t="s">
        <v>2130</v>
      </c>
      <c r="S436" s="83" t="str">
        <f t="shared" si="44"/>
        <v>21019A-QND</v>
      </c>
      <c r="T436" s="83" t="str">
        <f t="shared" si="45"/>
        <v>21019A-QND</v>
      </c>
      <c r="Y436" s="60">
        <f t="shared" si="46"/>
        <v>6</v>
      </c>
      <c r="Z436" s="49">
        <f t="shared" si="47"/>
        <v>404</v>
      </c>
      <c r="AA436" s="60">
        <f t="shared" si="48"/>
        <v>6404</v>
      </c>
    </row>
    <row r="437" spans="1:27">
      <c r="A437" s="83" t="str">
        <f t="shared" si="42"/>
        <v>21019A-SAF</v>
      </c>
      <c r="B437" s="83" t="str">
        <f t="shared" si="43"/>
        <v>06-405-</v>
      </c>
      <c r="C437" s="106" t="s">
        <v>2439</v>
      </c>
      <c r="G437" s="106" t="s">
        <v>2131</v>
      </c>
      <c r="S437" s="83" t="str">
        <f t="shared" si="44"/>
        <v>21019A-SAF</v>
      </c>
      <c r="T437" s="83" t="str">
        <f t="shared" si="45"/>
        <v>21019A-SAF</v>
      </c>
      <c r="Y437" s="60">
        <f t="shared" si="46"/>
        <v>6</v>
      </c>
      <c r="Z437" s="49">
        <f t="shared" si="47"/>
        <v>405</v>
      </c>
      <c r="AA437" s="60">
        <f t="shared" si="48"/>
        <v>6405</v>
      </c>
    </row>
    <row r="438" spans="1:27">
      <c r="A438" s="83" t="str">
        <f t="shared" si="42"/>
        <v>21019A-SBEAR</v>
      </c>
      <c r="B438" s="83" t="str">
        <f t="shared" si="43"/>
        <v>06-406-</v>
      </c>
      <c r="C438" s="106" t="s">
        <v>2440</v>
      </c>
      <c r="G438" s="106" t="s">
        <v>2132</v>
      </c>
      <c r="S438" s="83" t="str">
        <f t="shared" si="44"/>
        <v>21019A-SBEAR</v>
      </c>
      <c r="T438" s="83" t="str">
        <f t="shared" si="45"/>
        <v>21019A-SBEAR</v>
      </c>
      <c r="Y438" s="60">
        <f t="shared" si="46"/>
        <v>6</v>
      </c>
      <c r="Z438" s="49">
        <f t="shared" si="47"/>
        <v>406</v>
      </c>
      <c r="AA438" s="60">
        <f t="shared" si="48"/>
        <v>6406</v>
      </c>
    </row>
    <row r="439" spans="1:27">
      <c r="A439" s="83" t="str">
        <f t="shared" si="42"/>
        <v>21019A-TML</v>
      </c>
      <c r="B439" s="83" t="str">
        <f t="shared" si="43"/>
        <v>06-407-</v>
      </c>
      <c r="C439" s="106" t="s">
        <v>2441</v>
      </c>
      <c r="G439" s="106" t="s">
        <v>2133</v>
      </c>
      <c r="S439" s="83" t="str">
        <f t="shared" si="44"/>
        <v>21019A-TML</v>
      </c>
      <c r="T439" s="83" t="str">
        <f t="shared" si="45"/>
        <v>21019A-TML</v>
      </c>
      <c r="Y439" s="60">
        <f t="shared" si="46"/>
        <v>6</v>
      </c>
      <c r="Z439" s="49">
        <f t="shared" si="47"/>
        <v>407</v>
      </c>
      <c r="AA439" s="60">
        <f t="shared" si="48"/>
        <v>6407</v>
      </c>
    </row>
    <row r="440" spans="1:27">
      <c r="A440" s="83" t="str">
        <f t="shared" si="42"/>
        <v>21019A-USA</v>
      </c>
      <c r="B440" s="83" t="str">
        <f t="shared" si="43"/>
        <v>06-408-</v>
      </c>
      <c r="C440" s="106" t="s">
        <v>2442</v>
      </c>
      <c r="G440" s="106" t="s">
        <v>2134</v>
      </c>
      <c r="S440" s="83" t="str">
        <f t="shared" si="44"/>
        <v>21019A-USA</v>
      </c>
      <c r="T440" s="83" t="str">
        <f t="shared" si="45"/>
        <v>21019A-USA</v>
      </c>
      <c r="Y440" s="60">
        <f t="shared" si="46"/>
        <v>6</v>
      </c>
      <c r="Z440" s="49">
        <f t="shared" si="47"/>
        <v>408</v>
      </c>
      <c r="AA440" s="60">
        <f t="shared" si="48"/>
        <v>6408</v>
      </c>
    </row>
    <row r="441" spans="1:27">
      <c r="A441" s="83" t="str">
        <f t="shared" si="42"/>
        <v>21019A-VAC</v>
      </c>
      <c r="B441" s="83" t="str">
        <f t="shared" si="43"/>
        <v>06-409-</v>
      </c>
      <c r="C441" s="106" t="s">
        <v>2443</v>
      </c>
      <c r="G441" s="106" t="s">
        <v>2135</v>
      </c>
      <c r="S441" s="83" t="str">
        <f t="shared" si="44"/>
        <v>21019A-VAC</v>
      </c>
      <c r="T441" s="83" t="str">
        <f t="shared" si="45"/>
        <v>21019A-VAC</v>
      </c>
      <c r="Y441" s="60">
        <f t="shared" si="46"/>
        <v>6</v>
      </c>
      <c r="Z441" s="49">
        <f t="shared" si="47"/>
        <v>409</v>
      </c>
      <c r="AA441" s="60">
        <f t="shared" si="48"/>
        <v>6409</v>
      </c>
    </row>
    <row r="442" spans="1:27">
      <c r="A442" s="83" t="str">
        <f t="shared" si="42"/>
        <v>21019A-VGK</v>
      </c>
      <c r="B442" s="83" t="str">
        <f t="shared" si="43"/>
        <v>06-410-</v>
      </c>
      <c r="C442" s="106" t="s">
        <v>2444</v>
      </c>
      <c r="G442" s="106" t="s">
        <v>2136</v>
      </c>
      <c r="S442" s="83" t="str">
        <f t="shared" si="44"/>
        <v>21019A-VGK</v>
      </c>
      <c r="T442" s="83" t="str">
        <f t="shared" si="45"/>
        <v>21019A-VGK</v>
      </c>
      <c r="Y442" s="60">
        <f t="shared" si="46"/>
        <v>6</v>
      </c>
      <c r="Z442" s="49">
        <f t="shared" si="47"/>
        <v>410</v>
      </c>
      <c r="AA442" s="60">
        <f t="shared" si="48"/>
        <v>6410</v>
      </c>
    </row>
    <row r="443" spans="1:27">
      <c r="A443" s="83" t="str">
        <f t="shared" si="42"/>
        <v>21019A-YOG</v>
      </c>
      <c r="B443" s="83" t="str">
        <f t="shared" si="43"/>
        <v>06-411-</v>
      </c>
      <c r="C443" s="106" t="s">
        <v>2445</v>
      </c>
      <c r="G443" s="106" t="s">
        <v>2137</v>
      </c>
      <c r="S443" s="83" t="str">
        <f t="shared" si="44"/>
        <v>21019A-YOG</v>
      </c>
      <c r="T443" s="83" t="str">
        <f t="shared" si="45"/>
        <v>21019A-YOG</v>
      </c>
      <c r="Y443" s="60">
        <f t="shared" si="46"/>
        <v>6</v>
      </c>
      <c r="Z443" s="49">
        <f t="shared" si="47"/>
        <v>411</v>
      </c>
      <c r="AA443" s="60">
        <f t="shared" si="48"/>
        <v>6411</v>
      </c>
    </row>
    <row r="444" spans="1:27">
      <c r="A444" s="83" t="str">
        <f t="shared" si="42"/>
        <v>21019B-NASA</v>
      </c>
      <c r="B444" s="83" t="str">
        <f t="shared" si="43"/>
        <v>06-412-</v>
      </c>
      <c r="C444" s="106" t="s">
        <v>2446</v>
      </c>
      <c r="G444" s="106" t="s">
        <v>2138</v>
      </c>
      <c r="S444" s="83" t="str">
        <f t="shared" si="44"/>
        <v>21019B-NASA</v>
      </c>
      <c r="T444" s="83" t="str">
        <f t="shared" si="45"/>
        <v>21019B-NASA</v>
      </c>
      <c r="Y444" s="60">
        <f t="shared" si="46"/>
        <v>6</v>
      </c>
      <c r="Z444" s="49">
        <f t="shared" si="47"/>
        <v>412</v>
      </c>
      <c r="AA444" s="60">
        <f t="shared" si="48"/>
        <v>6412</v>
      </c>
    </row>
    <row r="445" spans="1:27">
      <c r="A445" s="83" t="str">
        <f t="shared" si="42"/>
        <v>21021A-DVNP</v>
      </c>
      <c r="B445" s="83" t="str">
        <f t="shared" si="43"/>
        <v>06-413-</v>
      </c>
      <c r="C445" s="106" t="s">
        <v>2447</v>
      </c>
      <c r="G445" s="106" t="s">
        <v>2139</v>
      </c>
      <c r="S445" s="83" t="str">
        <f t="shared" si="44"/>
        <v>21021A-DVNP</v>
      </c>
      <c r="T445" s="83" t="str">
        <f t="shared" si="45"/>
        <v>21021A-DVNP</v>
      </c>
      <c r="Y445" s="60">
        <f t="shared" si="46"/>
        <v>6</v>
      </c>
      <c r="Z445" s="49">
        <f t="shared" si="47"/>
        <v>413</v>
      </c>
      <c r="AA445" s="60">
        <f t="shared" si="48"/>
        <v>6413</v>
      </c>
    </row>
    <row r="446" spans="1:27">
      <c r="A446" s="83" t="str">
        <f t="shared" si="42"/>
        <v>36670A-SBEAR</v>
      </c>
      <c r="B446" s="83" t="str">
        <f t="shared" si="43"/>
        <v>06-414-</v>
      </c>
      <c r="C446" s="106" t="s">
        <v>2448</v>
      </c>
      <c r="G446" s="106" t="s">
        <v>2140</v>
      </c>
      <c r="S446" s="83" t="str">
        <f t="shared" si="44"/>
        <v>36670A-SBEAR</v>
      </c>
      <c r="T446" s="83" t="str">
        <f t="shared" si="45"/>
        <v>36670A-SBEAR</v>
      </c>
      <c r="Y446" s="60">
        <f t="shared" si="46"/>
        <v>6</v>
      </c>
      <c r="Z446" s="49">
        <f t="shared" si="47"/>
        <v>414</v>
      </c>
      <c r="AA446" s="60">
        <f t="shared" si="48"/>
        <v>6414</v>
      </c>
    </row>
    <row r="447" spans="1:27">
      <c r="A447" s="83" t="str">
        <f t="shared" si="42"/>
        <v>36672A-LAK</v>
      </c>
      <c r="B447" s="83" t="str">
        <f t="shared" si="43"/>
        <v>06-415-</v>
      </c>
      <c r="C447" s="106" t="s">
        <v>2449</v>
      </c>
      <c r="G447" s="106" t="s">
        <v>2141</v>
      </c>
      <c r="S447" s="83" t="str">
        <f t="shared" si="44"/>
        <v>36672A-LAK</v>
      </c>
      <c r="T447" s="83" t="str">
        <f t="shared" si="45"/>
        <v>36672A-LAK</v>
      </c>
      <c r="Y447" s="60">
        <f t="shared" si="46"/>
        <v>6</v>
      </c>
      <c r="Z447" s="49">
        <f t="shared" si="47"/>
        <v>415</v>
      </c>
      <c r="AA447" s="60">
        <f t="shared" si="48"/>
        <v>6415</v>
      </c>
    </row>
    <row r="448" spans="1:27">
      <c r="A448" s="83" t="str">
        <f t="shared" si="42"/>
        <v>36672A-MNW</v>
      </c>
      <c r="B448" s="83" t="str">
        <f t="shared" si="43"/>
        <v>06-416-</v>
      </c>
      <c r="C448" s="106" t="s">
        <v>2450</v>
      </c>
      <c r="G448" s="106" t="s">
        <v>2142</v>
      </c>
      <c r="S448" s="83" t="str">
        <f t="shared" si="44"/>
        <v>36672A-MNW</v>
      </c>
      <c r="T448" s="83" t="str">
        <f t="shared" si="45"/>
        <v>36672A-MNW</v>
      </c>
      <c r="Y448" s="60">
        <f t="shared" si="46"/>
        <v>6</v>
      </c>
      <c r="Z448" s="49">
        <f t="shared" si="47"/>
        <v>416</v>
      </c>
      <c r="AA448" s="60">
        <f t="shared" si="48"/>
        <v>6416</v>
      </c>
    </row>
    <row r="449" spans="1:27">
      <c r="A449" s="83" t="str">
        <f t="shared" si="42"/>
        <v>36672A-SJS</v>
      </c>
      <c r="B449" s="83" t="str">
        <f t="shared" si="43"/>
        <v>06-417-</v>
      </c>
      <c r="C449" s="106" t="s">
        <v>2451</v>
      </c>
      <c r="G449" s="106" t="s">
        <v>2144</v>
      </c>
      <c r="S449" s="83" t="str">
        <f t="shared" si="44"/>
        <v>36672A-SJS</v>
      </c>
      <c r="T449" s="83" t="str">
        <f t="shared" si="45"/>
        <v>36672A-SJS</v>
      </c>
      <c r="Y449" s="60">
        <f t="shared" si="46"/>
        <v>6</v>
      </c>
      <c r="Z449" s="49">
        <f t="shared" si="47"/>
        <v>417</v>
      </c>
      <c r="AA449" s="60">
        <f t="shared" si="48"/>
        <v>6417</v>
      </c>
    </row>
    <row r="450" spans="1:27">
      <c r="A450" s="83" t="str">
        <f t="shared" si="42"/>
        <v>400A1V-CHF</v>
      </c>
      <c r="B450" s="83" t="str">
        <f t="shared" si="43"/>
        <v>06-418-</v>
      </c>
      <c r="C450" s="106" t="s">
        <v>2452</v>
      </c>
      <c r="G450" s="106" t="s">
        <v>2145</v>
      </c>
      <c r="S450" s="83" t="str">
        <f t="shared" si="44"/>
        <v>400A1V-CHF</v>
      </c>
      <c r="T450" s="83" t="str">
        <f t="shared" si="45"/>
        <v>400A1V-CHF</v>
      </c>
      <c r="Y450" s="60">
        <f t="shared" si="46"/>
        <v>6</v>
      </c>
      <c r="Z450" s="49">
        <f t="shared" si="47"/>
        <v>418</v>
      </c>
      <c r="AA450" s="60">
        <f t="shared" si="48"/>
        <v>6418</v>
      </c>
    </row>
    <row r="451" spans="1:27">
      <c r="A451" s="83" t="str">
        <f t="shared" ref="A451:A514" si="49">IF(G451&amp;Q451&lt;&gt;"",S451&amp;Q451,"")</f>
        <v>40742A-HAW</v>
      </c>
      <c r="B451" s="83" t="str">
        <f t="shared" ref="B451:B514" si="50">IF(C451&lt;&gt;"",LEFT(C451,9),"")</f>
        <v>06-419-</v>
      </c>
      <c r="C451" s="106" t="s">
        <v>2453</v>
      </c>
      <c r="G451" s="106" t="s">
        <v>2151</v>
      </c>
      <c r="S451" s="83" t="str">
        <f t="shared" ref="S451:S514" si="51">IF(G451&lt;&gt;"",IF(StyleSpaceSplit,IFERROR(IF(FIND(" ",G451)&gt;=1,MID(G451,1,FIND(" ",G451)-1),G451),G451),G451),"")</f>
        <v>40742A-HAW</v>
      </c>
      <c r="T451" s="83" t="str">
        <f t="shared" ref="T451:T514" si="52">IF(A451&lt;&gt;"",IFERROR(IF(FIND(" ",G451)&gt;=1,MID(G451,FIND(" ",G451)+1,LEN(G451)),""),G451),"")</f>
        <v>40742A-HAW</v>
      </c>
      <c r="Y451" s="60">
        <f t="shared" ref="Y451:Y514" si="53">IFERROR(VALUE(MID($C451,1,2)),0)</f>
        <v>6</v>
      </c>
      <c r="Z451" s="49">
        <f t="shared" ref="Z451:Z514" si="54">IFERROR(VALUE(MID($C451,4,3)),0)</f>
        <v>419</v>
      </c>
      <c r="AA451" s="60">
        <f t="shared" ref="AA451:AA514" si="55">VALUE(RIGHT("00"&amp;Y451,2)&amp;RIGHT("000"&amp;Z451,3))</f>
        <v>6419</v>
      </c>
    </row>
    <row r="452" spans="1:27">
      <c r="A452" s="83" t="str">
        <f t="shared" si="49"/>
        <v>40742A-MNW</v>
      </c>
      <c r="B452" s="83" t="str">
        <f t="shared" si="50"/>
        <v>06-420-</v>
      </c>
      <c r="C452" s="106" t="s">
        <v>2454</v>
      </c>
      <c r="G452" s="106" t="s">
        <v>2152</v>
      </c>
      <c r="S452" s="83" t="str">
        <f t="shared" si="51"/>
        <v>40742A-MNW</v>
      </c>
      <c r="T452" s="83" t="str">
        <f t="shared" si="52"/>
        <v>40742A-MNW</v>
      </c>
      <c r="Y452" s="60">
        <f t="shared" si="53"/>
        <v>6</v>
      </c>
      <c r="Z452" s="49">
        <f t="shared" si="54"/>
        <v>420</v>
      </c>
      <c r="AA452" s="60">
        <f t="shared" si="55"/>
        <v>6420</v>
      </c>
    </row>
    <row r="453" spans="1:27">
      <c r="A453" s="83" t="str">
        <f t="shared" si="49"/>
        <v>40742B-COA</v>
      </c>
      <c r="B453" s="83" t="str">
        <f t="shared" si="50"/>
        <v>06-421-</v>
      </c>
      <c r="C453" s="106" t="s">
        <v>2455</v>
      </c>
      <c r="G453" s="106" t="s">
        <v>2156</v>
      </c>
      <c r="S453" s="83" t="str">
        <f t="shared" si="51"/>
        <v>40742B-COA</v>
      </c>
      <c r="T453" s="83" t="str">
        <f t="shared" si="52"/>
        <v>40742B-COA</v>
      </c>
      <c r="Y453" s="60">
        <f t="shared" si="53"/>
        <v>6</v>
      </c>
      <c r="Z453" s="49">
        <f t="shared" si="54"/>
        <v>421</v>
      </c>
      <c r="AA453" s="60">
        <f t="shared" si="55"/>
        <v>6421</v>
      </c>
    </row>
    <row r="454" spans="1:27">
      <c r="A454" s="83" t="str">
        <f t="shared" si="49"/>
        <v>40742B-EDO</v>
      </c>
      <c r="B454" s="83" t="str">
        <f t="shared" si="50"/>
        <v>06-422-</v>
      </c>
      <c r="C454" s="106" t="s">
        <v>2456</v>
      </c>
      <c r="G454" s="106" t="s">
        <v>2157</v>
      </c>
      <c r="S454" s="83" t="str">
        <f t="shared" si="51"/>
        <v>40742B-EDO</v>
      </c>
      <c r="T454" s="83" t="str">
        <f t="shared" si="52"/>
        <v>40742B-EDO</v>
      </c>
      <c r="Y454" s="60">
        <f t="shared" si="53"/>
        <v>6</v>
      </c>
      <c r="Z454" s="49">
        <f t="shared" si="54"/>
        <v>422</v>
      </c>
      <c r="AA454" s="60">
        <f t="shared" si="55"/>
        <v>6422</v>
      </c>
    </row>
    <row r="455" spans="1:27">
      <c r="A455" s="83" t="str">
        <f t="shared" si="49"/>
        <v>40742B-PCO</v>
      </c>
      <c r="B455" s="83" t="str">
        <f t="shared" si="50"/>
        <v>06-423-</v>
      </c>
      <c r="C455" s="106" t="s">
        <v>2457</v>
      </c>
      <c r="G455" s="106" t="s">
        <v>2160</v>
      </c>
      <c r="S455" s="83" t="str">
        <f t="shared" si="51"/>
        <v>40742B-PCO</v>
      </c>
      <c r="T455" s="83" t="str">
        <f t="shared" si="52"/>
        <v>40742B-PCO</v>
      </c>
      <c r="Y455" s="60">
        <f t="shared" si="53"/>
        <v>6</v>
      </c>
      <c r="Z455" s="49">
        <f t="shared" si="54"/>
        <v>423</v>
      </c>
      <c r="AA455" s="60">
        <f t="shared" si="55"/>
        <v>6423</v>
      </c>
    </row>
    <row r="456" spans="1:27">
      <c r="A456" s="83" t="str">
        <f t="shared" si="49"/>
        <v>40742B-VAC</v>
      </c>
      <c r="B456" s="83" t="str">
        <f t="shared" si="50"/>
        <v>06-424-</v>
      </c>
      <c r="C456" s="106" t="s">
        <v>2458</v>
      </c>
      <c r="G456" s="106" t="s">
        <v>2162</v>
      </c>
      <c r="S456" s="83" t="str">
        <f t="shared" si="51"/>
        <v>40742B-VAC</v>
      </c>
      <c r="T456" s="83" t="str">
        <f t="shared" si="52"/>
        <v>40742B-VAC</v>
      </c>
      <c r="Y456" s="60">
        <f t="shared" si="53"/>
        <v>6</v>
      </c>
      <c r="Z456" s="49">
        <f t="shared" si="54"/>
        <v>424</v>
      </c>
      <c r="AA456" s="60">
        <f t="shared" si="55"/>
        <v>6424</v>
      </c>
    </row>
    <row r="457" spans="1:27">
      <c r="A457" s="83" t="str">
        <f t="shared" si="49"/>
        <v>40742C-DAS</v>
      </c>
      <c r="B457" s="83" t="str">
        <f t="shared" si="50"/>
        <v>06-425-</v>
      </c>
      <c r="C457" s="106" t="s">
        <v>2459</v>
      </c>
      <c r="G457" s="106" t="s">
        <v>2163</v>
      </c>
      <c r="S457" s="83" t="str">
        <f t="shared" si="51"/>
        <v>40742C-DAS</v>
      </c>
      <c r="T457" s="83" t="str">
        <f t="shared" si="52"/>
        <v>40742C-DAS</v>
      </c>
      <c r="Y457" s="60">
        <f t="shared" si="53"/>
        <v>6</v>
      </c>
      <c r="Z457" s="49">
        <f t="shared" si="54"/>
        <v>425</v>
      </c>
      <c r="AA457" s="60">
        <f t="shared" si="55"/>
        <v>6425</v>
      </c>
    </row>
    <row r="458" spans="1:27">
      <c r="A458" s="83" t="str">
        <f t="shared" si="49"/>
        <v>40742D-AMD</v>
      </c>
      <c r="B458" s="83" t="str">
        <f t="shared" si="50"/>
        <v>06-426-</v>
      </c>
      <c r="C458" s="106" t="s">
        <v>2460</v>
      </c>
      <c r="G458" s="106" t="s">
        <v>2164</v>
      </c>
      <c r="S458" s="83" t="str">
        <f t="shared" si="51"/>
        <v>40742D-AMD</v>
      </c>
      <c r="T458" s="83" t="str">
        <f t="shared" si="52"/>
        <v>40742D-AMD</v>
      </c>
      <c r="Y458" s="60">
        <f t="shared" si="53"/>
        <v>6</v>
      </c>
      <c r="Z458" s="49">
        <f t="shared" si="54"/>
        <v>426</v>
      </c>
      <c r="AA458" s="60">
        <f t="shared" si="55"/>
        <v>6426</v>
      </c>
    </row>
    <row r="459" spans="1:27">
      <c r="A459" s="83" t="str">
        <f t="shared" si="49"/>
        <v>41152A-COA</v>
      </c>
      <c r="B459" s="83" t="str">
        <f t="shared" si="50"/>
        <v>06-427-</v>
      </c>
      <c r="C459" s="106" t="s">
        <v>2461</v>
      </c>
      <c r="G459" s="106" t="s">
        <v>2166</v>
      </c>
      <c r="S459" s="83" t="str">
        <f t="shared" si="51"/>
        <v>41152A-COA</v>
      </c>
      <c r="T459" s="83" t="str">
        <f t="shared" si="52"/>
        <v>41152A-COA</v>
      </c>
      <c r="Y459" s="60">
        <f t="shared" si="53"/>
        <v>6</v>
      </c>
      <c r="Z459" s="49">
        <f t="shared" si="54"/>
        <v>427</v>
      </c>
      <c r="AA459" s="60">
        <f t="shared" si="55"/>
        <v>6427</v>
      </c>
    </row>
    <row r="460" spans="1:27">
      <c r="A460" s="83" t="str">
        <f t="shared" si="49"/>
        <v>41152A-PCO</v>
      </c>
      <c r="B460" s="83" t="str">
        <f t="shared" si="50"/>
        <v>06-428-</v>
      </c>
      <c r="C460" s="106" t="s">
        <v>2462</v>
      </c>
      <c r="G460" s="106" t="s">
        <v>2167</v>
      </c>
      <c r="S460" s="83" t="str">
        <f t="shared" si="51"/>
        <v>41152A-PCO</v>
      </c>
      <c r="T460" s="83" t="str">
        <f t="shared" si="52"/>
        <v>41152A-PCO</v>
      </c>
      <c r="Y460" s="60">
        <f t="shared" si="53"/>
        <v>6</v>
      </c>
      <c r="Z460" s="49">
        <f t="shared" si="54"/>
        <v>428</v>
      </c>
      <c r="AA460" s="60">
        <f t="shared" si="55"/>
        <v>6428</v>
      </c>
    </row>
    <row r="461" spans="1:27">
      <c r="A461" s="83" t="str">
        <f t="shared" si="49"/>
        <v>41152B-LAK</v>
      </c>
      <c r="B461" s="83" t="str">
        <f t="shared" si="50"/>
        <v>06-429-</v>
      </c>
      <c r="C461" s="106" t="s">
        <v>2463</v>
      </c>
      <c r="G461" s="106" t="s">
        <v>2168</v>
      </c>
      <c r="S461" s="83" t="str">
        <f t="shared" si="51"/>
        <v>41152B-LAK</v>
      </c>
      <c r="T461" s="83" t="str">
        <f t="shared" si="52"/>
        <v>41152B-LAK</v>
      </c>
      <c r="Y461" s="60">
        <f t="shared" si="53"/>
        <v>6</v>
      </c>
      <c r="Z461" s="49">
        <f t="shared" si="54"/>
        <v>429</v>
      </c>
      <c r="AA461" s="60">
        <f t="shared" si="55"/>
        <v>6429</v>
      </c>
    </row>
    <row r="462" spans="1:27">
      <c r="A462" s="83" t="str">
        <f t="shared" si="49"/>
        <v>41152B-TML</v>
      </c>
      <c r="B462" s="83" t="str">
        <f t="shared" si="50"/>
        <v>06-430-</v>
      </c>
      <c r="C462" s="106" t="s">
        <v>2464</v>
      </c>
      <c r="G462" s="106" t="s">
        <v>2169</v>
      </c>
      <c r="S462" s="83" t="str">
        <f t="shared" si="51"/>
        <v>41152B-TML</v>
      </c>
      <c r="T462" s="83" t="str">
        <f t="shared" si="52"/>
        <v>41152B-TML</v>
      </c>
      <c r="Y462" s="60">
        <f t="shared" si="53"/>
        <v>6</v>
      </c>
      <c r="Z462" s="49">
        <f t="shared" si="54"/>
        <v>430</v>
      </c>
      <c r="AA462" s="60">
        <f t="shared" si="55"/>
        <v>6430</v>
      </c>
    </row>
    <row r="463" spans="1:27">
      <c r="A463" s="83" t="str">
        <f t="shared" si="49"/>
        <v>42642A-LAK</v>
      </c>
      <c r="B463" s="83" t="str">
        <f t="shared" si="50"/>
        <v>06-431-</v>
      </c>
      <c r="C463" s="106" t="s">
        <v>2465</v>
      </c>
      <c r="G463" s="106" t="s">
        <v>2171</v>
      </c>
      <c r="S463" s="83" t="str">
        <f t="shared" si="51"/>
        <v>42642A-LAK</v>
      </c>
      <c r="T463" s="83" t="str">
        <f t="shared" si="52"/>
        <v>42642A-LAK</v>
      </c>
      <c r="Y463" s="60">
        <f t="shared" si="53"/>
        <v>6</v>
      </c>
      <c r="Z463" s="49">
        <f t="shared" si="54"/>
        <v>431</v>
      </c>
      <c r="AA463" s="60">
        <f t="shared" si="55"/>
        <v>6431</v>
      </c>
    </row>
    <row r="464" spans="1:27">
      <c r="A464" s="83" t="str">
        <f t="shared" si="49"/>
        <v>42770A-BAT</v>
      </c>
      <c r="B464" s="83" t="str">
        <f t="shared" si="50"/>
        <v>06-432-</v>
      </c>
      <c r="C464" s="106" t="s">
        <v>2466</v>
      </c>
      <c r="G464" s="106" t="s">
        <v>2172</v>
      </c>
      <c r="S464" s="83" t="str">
        <f t="shared" si="51"/>
        <v>42770A-BAT</v>
      </c>
      <c r="T464" s="83" t="str">
        <f t="shared" si="52"/>
        <v>42770A-BAT</v>
      </c>
      <c r="Y464" s="60">
        <f t="shared" si="53"/>
        <v>6</v>
      </c>
      <c r="Z464" s="49">
        <f t="shared" si="54"/>
        <v>432</v>
      </c>
      <c r="AA464" s="60">
        <f t="shared" si="55"/>
        <v>6432</v>
      </c>
    </row>
    <row r="465" spans="1:27">
      <c r="A465" s="83" t="str">
        <f t="shared" si="49"/>
        <v>42772A-CBH</v>
      </c>
      <c r="B465" s="83" t="str">
        <f t="shared" si="50"/>
        <v>06-433-</v>
      </c>
      <c r="C465" s="106" t="s">
        <v>2467</v>
      </c>
      <c r="G465" s="106" t="s">
        <v>2173</v>
      </c>
      <c r="S465" s="83" t="str">
        <f t="shared" si="51"/>
        <v>42772A-CBH</v>
      </c>
      <c r="T465" s="83" t="str">
        <f t="shared" si="52"/>
        <v>42772A-CBH</v>
      </c>
      <c r="Y465" s="60">
        <f t="shared" si="53"/>
        <v>6</v>
      </c>
      <c r="Z465" s="49">
        <f t="shared" si="54"/>
        <v>433</v>
      </c>
      <c r="AA465" s="60">
        <f t="shared" si="55"/>
        <v>6433</v>
      </c>
    </row>
    <row r="466" spans="1:27">
      <c r="A466" s="83" t="str">
        <f t="shared" si="49"/>
        <v>42777A-OAO</v>
      </c>
      <c r="B466" s="83" t="str">
        <f t="shared" si="50"/>
        <v>06-434-</v>
      </c>
      <c r="C466" s="106" t="s">
        <v>2468</v>
      </c>
      <c r="G466" s="106" t="s">
        <v>2174</v>
      </c>
      <c r="S466" s="83" t="str">
        <f t="shared" si="51"/>
        <v>42777A-OAO</v>
      </c>
      <c r="T466" s="83" t="str">
        <f t="shared" si="52"/>
        <v>42777A-OAO</v>
      </c>
      <c r="Y466" s="60">
        <f t="shared" si="53"/>
        <v>6</v>
      </c>
      <c r="Z466" s="49">
        <f t="shared" si="54"/>
        <v>434</v>
      </c>
      <c r="AA466" s="60">
        <f t="shared" si="55"/>
        <v>6434</v>
      </c>
    </row>
    <row r="467" spans="1:27">
      <c r="A467" s="83" t="str">
        <f t="shared" si="49"/>
        <v>42932C-VGK</v>
      </c>
      <c r="B467" s="83" t="str">
        <f t="shared" si="50"/>
        <v>06-435-</v>
      </c>
      <c r="C467" s="106" t="s">
        <v>2469</v>
      </c>
      <c r="G467" s="106" t="s">
        <v>2178</v>
      </c>
      <c r="S467" s="83" t="str">
        <f t="shared" si="51"/>
        <v>42932C-VGK</v>
      </c>
      <c r="T467" s="83" t="str">
        <f t="shared" si="52"/>
        <v>42932C-VGK</v>
      </c>
      <c r="Y467" s="60">
        <f t="shared" si="53"/>
        <v>6</v>
      </c>
      <c r="Z467" s="49">
        <f t="shared" si="54"/>
        <v>435</v>
      </c>
      <c r="AA467" s="60">
        <f t="shared" si="55"/>
        <v>6435</v>
      </c>
    </row>
    <row r="468" spans="1:27">
      <c r="A468" s="83" t="str">
        <f t="shared" si="49"/>
        <v>42960A-RKM</v>
      </c>
      <c r="B468" s="83" t="str">
        <f t="shared" si="50"/>
        <v>06-436-</v>
      </c>
      <c r="C468" s="106" t="s">
        <v>2470</v>
      </c>
      <c r="G468" s="106" t="s">
        <v>2181</v>
      </c>
      <c r="S468" s="83" t="str">
        <f t="shared" si="51"/>
        <v>42960A-RKM</v>
      </c>
      <c r="T468" s="83" t="str">
        <f t="shared" si="52"/>
        <v>42960A-RKM</v>
      </c>
      <c r="Y468" s="60">
        <f t="shared" si="53"/>
        <v>6</v>
      </c>
      <c r="Z468" s="49">
        <f t="shared" si="54"/>
        <v>436</v>
      </c>
      <c r="AA468" s="60">
        <f t="shared" si="55"/>
        <v>6436</v>
      </c>
    </row>
    <row r="469" spans="1:27">
      <c r="A469" s="83" t="str">
        <f t="shared" si="49"/>
        <v>42960A-SBEAR</v>
      </c>
      <c r="B469" s="83" t="str">
        <f t="shared" si="50"/>
        <v>06-437-</v>
      </c>
      <c r="C469" s="106" t="s">
        <v>2471</v>
      </c>
      <c r="G469" s="106" t="s">
        <v>2182</v>
      </c>
      <c r="S469" s="83" t="str">
        <f t="shared" si="51"/>
        <v>42960A-SBEAR</v>
      </c>
      <c r="T469" s="83" t="str">
        <f t="shared" si="52"/>
        <v>42960A-SBEAR</v>
      </c>
      <c r="Y469" s="60">
        <f t="shared" si="53"/>
        <v>6</v>
      </c>
      <c r="Z469" s="49">
        <f t="shared" si="54"/>
        <v>437</v>
      </c>
      <c r="AA469" s="60">
        <f t="shared" si="55"/>
        <v>6437</v>
      </c>
    </row>
    <row r="470" spans="1:27">
      <c r="A470" s="83" t="str">
        <f t="shared" si="49"/>
        <v>42960A-TX</v>
      </c>
      <c r="B470" s="83" t="str">
        <f t="shared" si="50"/>
        <v>06-438-</v>
      </c>
      <c r="C470" s="106" t="s">
        <v>2472</v>
      </c>
      <c r="G470" s="106" t="s">
        <v>2183</v>
      </c>
      <c r="S470" s="83" t="str">
        <f t="shared" si="51"/>
        <v>42960A-TX</v>
      </c>
      <c r="T470" s="83" t="str">
        <f t="shared" si="52"/>
        <v>42960A-TX</v>
      </c>
      <c r="Y470" s="60">
        <f t="shared" si="53"/>
        <v>6</v>
      </c>
      <c r="Z470" s="49">
        <f t="shared" si="54"/>
        <v>438</v>
      </c>
      <c r="AA470" s="60">
        <f t="shared" si="55"/>
        <v>6438</v>
      </c>
    </row>
    <row r="471" spans="1:27">
      <c r="A471" s="83" t="str">
        <f t="shared" si="49"/>
        <v>42960A-USA</v>
      </c>
      <c r="B471" s="83" t="str">
        <f t="shared" si="50"/>
        <v>06-439-</v>
      </c>
      <c r="C471" s="106" t="s">
        <v>2473</v>
      </c>
      <c r="G471" s="106" t="s">
        <v>2184</v>
      </c>
      <c r="S471" s="83" t="str">
        <f t="shared" si="51"/>
        <v>42960A-USA</v>
      </c>
      <c r="T471" s="83" t="str">
        <f t="shared" si="52"/>
        <v>42960A-USA</v>
      </c>
      <c r="Y471" s="60">
        <f t="shared" si="53"/>
        <v>6</v>
      </c>
      <c r="Z471" s="49">
        <f t="shared" si="54"/>
        <v>439</v>
      </c>
      <c r="AA471" s="60">
        <f t="shared" si="55"/>
        <v>6439</v>
      </c>
    </row>
    <row r="472" spans="1:27">
      <c r="A472" s="83" t="str">
        <f t="shared" si="49"/>
        <v>42960A-ZNP</v>
      </c>
      <c r="B472" s="83" t="str">
        <f t="shared" si="50"/>
        <v>06-440-</v>
      </c>
      <c r="C472" s="106" t="s">
        <v>2474</v>
      </c>
      <c r="G472" s="106" t="s">
        <v>2185</v>
      </c>
      <c r="S472" s="83" t="str">
        <f t="shared" si="51"/>
        <v>42960A-ZNP</v>
      </c>
      <c r="T472" s="83" t="str">
        <f t="shared" si="52"/>
        <v>42960A-ZNP</v>
      </c>
      <c r="Y472" s="60">
        <f t="shared" si="53"/>
        <v>6</v>
      </c>
      <c r="Z472" s="49">
        <f t="shared" si="54"/>
        <v>440</v>
      </c>
      <c r="AA472" s="60">
        <f t="shared" si="55"/>
        <v>6440</v>
      </c>
    </row>
    <row r="473" spans="1:27">
      <c r="A473" s="83" t="str">
        <f t="shared" si="49"/>
        <v>42960B-SBEAR</v>
      </c>
      <c r="B473" s="83" t="str">
        <f t="shared" si="50"/>
        <v>06-441-</v>
      </c>
      <c r="C473" s="106" t="s">
        <v>2475</v>
      </c>
      <c r="G473" s="106" t="s">
        <v>2187</v>
      </c>
      <c r="S473" s="83" t="str">
        <f t="shared" si="51"/>
        <v>42960B-SBEAR</v>
      </c>
      <c r="T473" s="83" t="str">
        <f t="shared" si="52"/>
        <v>42960B-SBEAR</v>
      </c>
      <c r="Y473" s="60">
        <f t="shared" si="53"/>
        <v>6</v>
      </c>
      <c r="Z473" s="49">
        <f t="shared" si="54"/>
        <v>441</v>
      </c>
      <c r="AA473" s="60">
        <f t="shared" si="55"/>
        <v>6441</v>
      </c>
    </row>
    <row r="474" spans="1:27">
      <c r="A474" s="83" t="str">
        <f t="shared" si="49"/>
        <v>43020C-NASA</v>
      </c>
      <c r="B474" s="83" t="str">
        <f t="shared" si="50"/>
        <v>06-442-</v>
      </c>
      <c r="C474" s="106" t="s">
        <v>2476</v>
      </c>
      <c r="G474" s="106" t="s">
        <v>2190</v>
      </c>
      <c r="S474" s="83" t="str">
        <f t="shared" si="51"/>
        <v>43020C-NASA</v>
      </c>
      <c r="T474" s="83" t="str">
        <f t="shared" si="52"/>
        <v>43020C-NASA</v>
      </c>
      <c r="Y474" s="60">
        <f t="shared" si="53"/>
        <v>6</v>
      </c>
      <c r="Z474" s="49">
        <f t="shared" si="54"/>
        <v>442</v>
      </c>
      <c r="AA474" s="60">
        <f t="shared" si="55"/>
        <v>6442</v>
      </c>
    </row>
    <row r="475" spans="1:27">
      <c r="A475" s="83" t="str">
        <f t="shared" si="49"/>
        <v>43260A-CALI</v>
      </c>
      <c r="B475" s="83" t="str">
        <f t="shared" si="50"/>
        <v>06-443-</v>
      </c>
      <c r="C475" s="106" t="s">
        <v>2477</v>
      </c>
      <c r="G475" s="106" t="s">
        <v>2192</v>
      </c>
      <c r="S475" s="83" t="str">
        <f t="shared" si="51"/>
        <v>43260A-CALI</v>
      </c>
      <c r="T475" s="83" t="str">
        <f t="shared" si="52"/>
        <v>43260A-CALI</v>
      </c>
      <c r="Y475" s="60">
        <f t="shared" si="53"/>
        <v>6</v>
      </c>
      <c r="Z475" s="49">
        <f t="shared" si="54"/>
        <v>443</v>
      </c>
      <c r="AA475" s="60">
        <f t="shared" si="55"/>
        <v>6443</v>
      </c>
    </row>
    <row r="476" spans="1:27">
      <c r="A476" s="83" t="str">
        <f t="shared" si="49"/>
        <v>43870A-HTI</v>
      </c>
      <c r="B476" s="83" t="str">
        <f t="shared" si="50"/>
        <v>06-444-</v>
      </c>
      <c r="C476" s="106" t="s">
        <v>2478</v>
      </c>
      <c r="G476" s="106" t="s">
        <v>2196</v>
      </c>
      <c r="S476" s="83" t="str">
        <f t="shared" si="51"/>
        <v>43870A-HTI</v>
      </c>
      <c r="T476" s="83" t="str">
        <f t="shared" si="52"/>
        <v>43870A-HTI</v>
      </c>
      <c r="Y476" s="60">
        <f t="shared" si="53"/>
        <v>6</v>
      </c>
      <c r="Z476" s="49">
        <f t="shared" si="54"/>
        <v>444</v>
      </c>
      <c r="AA476" s="60">
        <f t="shared" si="55"/>
        <v>6444</v>
      </c>
    </row>
    <row r="477" spans="1:27">
      <c r="A477" s="83" t="str">
        <f t="shared" si="49"/>
        <v>43870A-MTEV</v>
      </c>
      <c r="B477" s="83" t="str">
        <f t="shared" si="50"/>
        <v>06-445-</v>
      </c>
      <c r="C477" s="106" t="s">
        <v>2479</v>
      </c>
      <c r="G477" s="106" t="s">
        <v>2198</v>
      </c>
      <c r="S477" s="83" t="str">
        <f t="shared" si="51"/>
        <v>43870A-MTEV</v>
      </c>
      <c r="T477" s="83" t="str">
        <f t="shared" si="52"/>
        <v>43870A-MTEV</v>
      </c>
      <c r="Y477" s="60">
        <f t="shared" si="53"/>
        <v>6</v>
      </c>
      <c r="Z477" s="49">
        <f t="shared" si="54"/>
        <v>445</v>
      </c>
      <c r="AA477" s="60">
        <f t="shared" si="55"/>
        <v>6445</v>
      </c>
    </row>
    <row r="478" spans="1:27">
      <c r="A478" s="83" t="str">
        <f t="shared" si="49"/>
        <v>43870A-OLNP</v>
      </c>
      <c r="B478" s="83" t="str">
        <f t="shared" si="50"/>
        <v>06-446-</v>
      </c>
      <c r="C478" s="106" t="s">
        <v>2480</v>
      </c>
      <c r="G478" s="106" t="s">
        <v>2200</v>
      </c>
      <c r="S478" s="83" t="str">
        <f t="shared" si="51"/>
        <v>43870A-OLNP</v>
      </c>
      <c r="T478" s="83" t="str">
        <f t="shared" si="52"/>
        <v>43870A-OLNP</v>
      </c>
      <c r="Y478" s="60">
        <f t="shared" si="53"/>
        <v>6</v>
      </c>
      <c r="Z478" s="49">
        <f t="shared" si="54"/>
        <v>446</v>
      </c>
      <c r="AA478" s="60">
        <f t="shared" si="55"/>
        <v>6446</v>
      </c>
    </row>
    <row r="479" spans="1:27">
      <c r="A479" s="83" t="str">
        <f t="shared" si="49"/>
        <v>43870A-SBEAR</v>
      </c>
      <c r="B479" s="83" t="str">
        <f t="shared" si="50"/>
        <v>06-447-</v>
      </c>
      <c r="C479" s="106" t="s">
        <v>2481</v>
      </c>
      <c r="G479" s="106" t="s">
        <v>2201</v>
      </c>
      <c r="S479" s="83" t="str">
        <f t="shared" si="51"/>
        <v>43870A-SBEAR</v>
      </c>
      <c r="T479" s="83" t="str">
        <f t="shared" si="52"/>
        <v>43870A-SBEAR</v>
      </c>
      <c r="Y479" s="60">
        <f t="shared" si="53"/>
        <v>6</v>
      </c>
      <c r="Z479" s="49">
        <f t="shared" si="54"/>
        <v>447</v>
      </c>
      <c r="AA479" s="60">
        <f t="shared" si="55"/>
        <v>6447</v>
      </c>
    </row>
    <row r="480" spans="1:27">
      <c r="A480" s="83" t="str">
        <f t="shared" si="49"/>
        <v>43877A-LOS</v>
      </c>
      <c r="B480" s="83" t="str">
        <f t="shared" si="50"/>
        <v>06-448-</v>
      </c>
      <c r="C480" s="106" t="s">
        <v>2482</v>
      </c>
      <c r="G480" s="106" t="s">
        <v>2203</v>
      </c>
      <c r="S480" s="83" t="str">
        <f t="shared" si="51"/>
        <v>43877A-LOS</v>
      </c>
      <c r="T480" s="83" t="str">
        <f t="shared" si="52"/>
        <v>43877A-LOS</v>
      </c>
      <c r="Y480" s="60">
        <f t="shared" si="53"/>
        <v>6</v>
      </c>
      <c r="Z480" s="49">
        <f t="shared" si="54"/>
        <v>448</v>
      </c>
      <c r="AA480" s="60">
        <f t="shared" si="55"/>
        <v>6448</v>
      </c>
    </row>
    <row r="481" spans="1:27">
      <c r="A481" s="83" t="str">
        <f t="shared" si="49"/>
        <v>43877A-SAF</v>
      </c>
      <c r="B481" s="83" t="str">
        <f t="shared" si="50"/>
        <v>06-449-</v>
      </c>
      <c r="C481" s="106" t="s">
        <v>2483</v>
      </c>
      <c r="G481" s="106" t="s">
        <v>2204</v>
      </c>
      <c r="S481" s="83" t="str">
        <f t="shared" si="51"/>
        <v>43877A-SAF</v>
      </c>
      <c r="T481" s="83" t="str">
        <f t="shared" si="52"/>
        <v>43877A-SAF</v>
      </c>
      <c r="Y481" s="60">
        <f t="shared" si="53"/>
        <v>6</v>
      </c>
      <c r="Z481" s="49">
        <f t="shared" si="54"/>
        <v>449</v>
      </c>
      <c r="AA481" s="60">
        <f t="shared" si="55"/>
        <v>6449</v>
      </c>
    </row>
    <row r="482" spans="1:27">
      <c r="A482" s="83" t="str">
        <f t="shared" si="49"/>
        <v>43910A-BOWI</v>
      </c>
      <c r="B482" s="83" t="str">
        <f t="shared" si="50"/>
        <v>06-450-</v>
      </c>
      <c r="C482" s="106" t="s">
        <v>2484</v>
      </c>
      <c r="G482" s="106" t="s">
        <v>2205</v>
      </c>
      <c r="S482" s="83" t="str">
        <f t="shared" si="51"/>
        <v>43910A-BOWI</v>
      </c>
      <c r="T482" s="83" t="str">
        <f t="shared" si="52"/>
        <v>43910A-BOWI</v>
      </c>
      <c r="Y482" s="60">
        <f t="shared" si="53"/>
        <v>6</v>
      </c>
      <c r="Z482" s="49">
        <f t="shared" si="54"/>
        <v>450</v>
      </c>
      <c r="AA482" s="60">
        <f t="shared" si="55"/>
        <v>6450</v>
      </c>
    </row>
    <row r="483" spans="1:27">
      <c r="A483" s="83" t="str">
        <f t="shared" si="49"/>
        <v>44590A-TX</v>
      </c>
      <c r="B483" s="83" t="str">
        <f t="shared" si="50"/>
        <v>06-451-</v>
      </c>
      <c r="C483" s="106" t="s">
        <v>2485</v>
      </c>
      <c r="G483" s="106" t="s">
        <v>2210</v>
      </c>
      <c r="S483" s="83" t="str">
        <f t="shared" si="51"/>
        <v>44590A-TX</v>
      </c>
      <c r="T483" s="83" t="str">
        <f t="shared" si="52"/>
        <v>44590A-TX</v>
      </c>
      <c r="Y483" s="60">
        <f t="shared" si="53"/>
        <v>6</v>
      </c>
      <c r="Z483" s="49">
        <f t="shared" si="54"/>
        <v>451</v>
      </c>
      <c r="AA483" s="60">
        <f t="shared" si="55"/>
        <v>6451</v>
      </c>
    </row>
    <row r="484" spans="1:27">
      <c r="A484" s="83" t="str">
        <f t="shared" si="49"/>
        <v>44740A-BMARY</v>
      </c>
      <c r="B484" s="83" t="str">
        <f t="shared" si="50"/>
        <v>06-452-</v>
      </c>
      <c r="C484" s="106" t="s">
        <v>2486</v>
      </c>
      <c r="G484" s="106" t="s">
        <v>2212</v>
      </c>
      <c r="S484" s="83" t="str">
        <f t="shared" si="51"/>
        <v>44740A-BMARY</v>
      </c>
      <c r="T484" s="83" t="str">
        <f t="shared" si="52"/>
        <v>44740A-BMARY</v>
      </c>
      <c r="Y484" s="60">
        <f t="shared" si="53"/>
        <v>6</v>
      </c>
      <c r="Z484" s="49">
        <f t="shared" si="54"/>
        <v>452</v>
      </c>
      <c r="AA484" s="60">
        <f t="shared" si="55"/>
        <v>6452</v>
      </c>
    </row>
    <row r="485" spans="1:27">
      <c r="A485" s="83" t="str">
        <f t="shared" si="49"/>
        <v>44740A-CHF</v>
      </c>
      <c r="B485" s="83" t="str">
        <f t="shared" si="50"/>
        <v>06-453-</v>
      </c>
      <c r="C485" s="106" t="s">
        <v>2487</v>
      </c>
      <c r="G485" s="106" t="s">
        <v>2214</v>
      </c>
      <c r="S485" s="83" t="str">
        <f t="shared" si="51"/>
        <v>44740A-CHF</v>
      </c>
      <c r="T485" s="83" t="str">
        <f t="shared" si="52"/>
        <v>44740A-CHF</v>
      </c>
      <c r="Y485" s="60">
        <f t="shared" si="53"/>
        <v>6</v>
      </c>
      <c r="Z485" s="49">
        <f t="shared" si="54"/>
        <v>453</v>
      </c>
      <c r="AA485" s="60">
        <f t="shared" si="55"/>
        <v>6453</v>
      </c>
    </row>
    <row r="486" spans="1:27">
      <c r="A486" s="83" t="str">
        <f t="shared" si="49"/>
        <v>44740A-DAE</v>
      </c>
      <c r="B486" s="83" t="str">
        <f t="shared" si="50"/>
        <v>06-454-</v>
      </c>
      <c r="C486" s="106" t="s">
        <v>2488</v>
      </c>
      <c r="G486" s="106" t="s">
        <v>2215</v>
      </c>
      <c r="S486" s="83" t="str">
        <f t="shared" si="51"/>
        <v>44740A-DAE</v>
      </c>
      <c r="T486" s="83" t="str">
        <f t="shared" si="52"/>
        <v>44740A-DAE</v>
      </c>
      <c r="Y486" s="60">
        <f t="shared" si="53"/>
        <v>6</v>
      </c>
      <c r="Z486" s="49">
        <f t="shared" si="54"/>
        <v>454</v>
      </c>
      <c r="AA486" s="60">
        <f t="shared" si="55"/>
        <v>6454</v>
      </c>
    </row>
    <row r="487" spans="1:27">
      <c r="A487" s="83" t="str">
        <f t="shared" si="49"/>
        <v>44740A-GINTON</v>
      </c>
      <c r="B487" s="83" t="str">
        <f t="shared" si="50"/>
        <v>06-455-</v>
      </c>
      <c r="C487" s="106" t="s">
        <v>2489</v>
      </c>
      <c r="G487" s="106" t="s">
        <v>2216</v>
      </c>
      <c r="S487" s="83" t="str">
        <f t="shared" si="51"/>
        <v>44740A-GINTON</v>
      </c>
      <c r="T487" s="83" t="str">
        <f t="shared" si="52"/>
        <v>44740A-GINTON</v>
      </c>
      <c r="Y487" s="60">
        <f t="shared" si="53"/>
        <v>6</v>
      </c>
      <c r="Z487" s="49">
        <f t="shared" si="54"/>
        <v>455</v>
      </c>
      <c r="AA487" s="60">
        <f t="shared" si="55"/>
        <v>6455</v>
      </c>
    </row>
    <row r="488" spans="1:27">
      <c r="A488" s="83" t="str">
        <f t="shared" si="49"/>
        <v>44740A-HTC</v>
      </c>
      <c r="B488" s="83" t="str">
        <f t="shared" si="50"/>
        <v>06-456-</v>
      </c>
      <c r="C488" s="106" t="s">
        <v>2490</v>
      </c>
      <c r="G488" s="106" t="s">
        <v>2217</v>
      </c>
      <c r="S488" s="83" t="str">
        <f t="shared" si="51"/>
        <v>44740A-HTC</v>
      </c>
      <c r="T488" s="83" t="str">
        <f t="shared" si="52"/>
        <v>44740A-HTC</v>
      </c>
      <c r="Y488" s="60">
        <f t="shared" si="53"/>
        <v>6</v>
      </c>
      <c r="Z488" s="49">
        <f t="shared" si="54"/>
        <v>456</v>
      </c>
      <c r="AA488" s="60">
        <f t="shared" si="55"/>
        <v>6456</v>
      </c>
    </row>
    <row r="489" spans="1:27">
      <c r="A489" s="83" t="str">
        <f t="shared" si="49"/>
        <v>44740A-LAA</v>
      </c>
      <c r="B489" s="83" t="str">
        <f t="shared" si="50"/>
        <v>06-457-</v>
      </c>
      <c r="C489" s="106" t="s">
        <v>2491</v>
      </c>
      <c r="G489" s="106" t="s">
        <v>2219</v>
      </c>
      <c r="S489" s="83" t="str">
        <f t="shared" si="51"/>
        <v>44740A-LAA</v>
      </c>
      <c r="T489" s="83" t="str">
        <f t="shared" si="52"/>
        <v>44740A-LAA</v>
      </c>
      <c r="Y489" s="60">
        <f t="shared" si="53"/>
        <v>6</v>
      </c>
      <c r="Z489" s="49">
        <f t="shared" si="54"/>
        <v>457</v>
      </c>
      <c r="AA489" s="60">
        <f t="shared" si="55"/>
        <v>6457</v>
      </c>
    </row>
    <row r="490" spans="1:27">
      <c r="A490" s="83" t="str">
        <f t="shared" si="49"/>
        <v>44740A-MANHAT</v>
      </c>
      <c r="B490" s="83" t="str">
        <f t="shared" si="50"/>
        <v>06-458-</v>
      </c>
      <c r="C490" s="106" t="s">
        <v>2492</v>
      </c>
      <c r="G490" s="106" t="s">
        <v>2220</v>
      </c>
      <c r="S490" s="83" t="str">
        <f t="shared" si="51"/>
        <v>44740A-MANHAT</v>
      </c>
      <c r="T490" s="83" t="str">
        <f t="shared" si="52"/>
        <v>44740A-MANHAT</v>
      </c>
      <c r="Y490" s="60">
        <f t="shared" si="53"/>
        <v>6</v>
      </c>
      <c r="Z490" s="49">
        <f t="shared" si="54"/>
        <v>458</v>
      </c>
      <c r="AA490" s="60">
        <f t="shared" si="55"/>
        <v>6458</v>
      </c>
    </row>
    <row r="491" spans="1:27">
      <c r="A491" s="83" t="str">
        <f t="shared" si="49"/>
        <v>44740A-MJULEP</v>
      </c>
      <c r="B491" s="83" t="str">
        <f t="shared" si="50"/>
        <v>06-459-</v>
      </c>
      <c r="C491" s="106" t="s">
        <v>2493</v>
      </c>
      <c r="G491" s="106" t="s">
        <v>2221</v>
      </c>
      <c r="S491" s="83" t="str">
        <f t="shared" si="51"/>
        <v>44740A-MJULEP</v>
      </c>
      <c r="T491" s="83" t="str">
        <f t="shared" si="52"/>
        <v>44740A-MJULEP</v>
      </c>
      <c r="Y491" s="60">
        <f t="shared" si="53"/>
        <v>6</v>
      </c>
      <c r="Z491" s="49">
        <f t="shared" si="54"/>
        <v>459</v>
      </c>
      <c r="AA491" s="60">
        <f t="shared" si="55"/>
        <v>6459</v>
      </c>
    </row>
    <row r="492" spans="1:27">
      <c r="A492" s="83" t="str">
        <f t="shared" si="49"/>
        <v>44740A-NAH</v>
      </c>
      <c r="B492" s="83" t="str">
        <f t="shared" si="50"/>
        <v>06-460-</v>
      </c>
      <c r="C492" s="106" t="s">
        <v>2494</v>
      </c>
      <c r="G492" s="106" t="s">
        <v>2222</v>
      </c>
      <c r="S492" s="83" t="str">
        <f t="shared" si="51"/>
        <v>44740A-NAH</v>
      </c>
      <c r="T492" s="83" t="str">
        <f t="shared" si="52"/>
        <v>44740A-NAH</v>
      </c>
      <c r="Y492" s="60">
        <f t="shared" si="53"/>
        <v>6</v>
      </c>
      <c r="Z492" s="49">
        <f t="shared" si="54"/>
        <v>460</v>
      </c>
      <c r="AA492" s="60">
        <f t="shared" si="55"/>
        <v>6460</v>
      </c>
    </row>
    <row r="493" spans="1:27">
      <c r="A493" s="83" t="str">
        <f t="shared" si="49"/>
        <v>44740A-OLDFASH</v>
      </c>
      <c r="B493" s="83" t="str">
        <f t="shared" si="50"/>
        <v>06-461-</v>
      </c>
      <c r="C493" s="106" t="s">
        <v>2495</v>
      </c>
      <c r="G493" s="106" t="s">
        <v>2223</v>
      </c>
      <c r="S493" s="83" t="str">
        <f t="shared" si="51"/>
        <v>44740A-OLDFASH</v>
      </c>
      <c r="T493" s="83" t="str">
        <f t="shared" si="52"/>
        <v>44740A-OLDFASH</v>
      </c>
      <c r="Y493" s="60">
        <f t="shared" si="53"/>
        <v>6</v>
      </c>
      <c r="Z493" s="49">
        <f t="shared" si="54"/>
        <v>461</v>
      </c>
      <c r="AA493" s="60">
        <f t="shared" si="55"/>
        <v>6461</v>
      </c>
    </row>
    <row r="494" spans="1:27">
      <c r="A494" s="83" t="str">
        <f t="shared" si="49"/>
        <v>44740A-YOW</v>
      </c>
      <c r="B494" s="83" t="str">
        <f t="shared" si="50"/>
        <v>06-462-</v>
      </c>
      <c r="C494" s="106" t="s">
        <v>2496</v>
      </c>
      <c r="G494" s="106" t="s">
        <v>2226</v>
      </c>
      <c r="S494" s="83" t="str">
        <f t="shared" si="51"/>
        <v>44740A-YOW</v>
      </c>
      <c r="T494" s="83" t="str">
        <f t="shared" si="52"/>
        <v>44740A-YOW</v>
      </c>
      <c r="Y494" s="60">
        <f t="shared" si="53"/>
        <v>6</v>
      </c>
      <c r="Z494" s="49">
        <f t="shared" si="54"/>
        <v>462</v>
      </c>
      <c r="AA494" s="60">
        <f t="shared" si="55"/>
        <v>6462</v>
      </c>
    </row>
    <row r="495" spans="1:27">
      <c r="A495" s="83" t="str">
        <f t="shared" si="49"/>
        <v>44747A-CAG</v>
      </c>
      <c r="B495" s="83" t="str">
        <f t="shared" si="50"/>
        <v>06-463-</v>
      </c>
      <c r="C495" s="106" t="s">
        <v>2497</v>
      </c>
      <c r="G495" s="106" t="s">
        <v>2228</v>
      </c>
      <c r="S495" s="83" t="str">
        <f t="shared" si="51"/>
        <v>44747A-CAG</v>
      </c>
      <c r="T495" s="83" t="str">
        <f t="shared" si="52"/>
        <v>44747A-CAG</v>
      </c>
      <c r="Y495" s="60">
        <f t="shared" si="53"/>
        <v>6</v>
      </c>
      <c r="Z495" s="49">
        <f t="shared" si="54"/>
        <v>463</v>
      </c>
      <c r="AA495" s="60">
        <f t="shared" si="55"/>
        <v>6463</v>
      </c>
    </row>
    <row r="496" spans="1:27">
      <c r="A496" s="83" t="str">
        <f t="shared" si="49"/>
        <v>44747A-KCM</v>
      </c>
      <c r="B496" s="83" t="str">
        <f t="shared" si="50"/>
        <v>06-464-</v>
      </c>
      <c r="C496" s="106" t="s">
        <v>2498</v>
      </c>
      <c r="G496" s="106" t="s">
        <v>2230</v>
      </c>
      <c r="S496" s="83" t="str">
        <f t="shared" si="51"/>
        <v>44747A-KCM</v>
      </c>
      <c r="T496" s="83" t="str">
        <f t="shared" si="52"/>
        <v>44747A-KCM</v>
      </c>
      <c r="Y496" s="60">
        <f t="shared" si="53"/>
        <v>6</v>
      </c>
      <c r="Z496" s="49">
        <f t="shared" si="54"/>
        <v>464</v>
      </c>
      <c r="AA496" s="60">
        <f t="shared" si="55"/>
        <v>6464</v>
      </c>
    </row>
    <row r="497" spans="1:27">
      <c r="A497" s="83" t="str">
        <f t="shared" si="49"/>
        <v>44747A-LAW</v>
      </c>
      <c r="B497" s="83" t="str">
        <f t="shared" si="50"/>
        <v>06-465-</v>
      </c>
      <c r="C497" s="106" t="s">
        <v>2499</v>
      </c>
      <c r="G497" s="106" t="s">
        <v>2231</v>
      </c>
      <c r="S497" s="83" t="str">
        <f t="shared" si="51"/>
        <v>44747A-LAW</v>
      </c>
      <c r="T497" s="83" t="str">
        <f t="shared" si="52"/>
        <v>44747A-LAW</v>
      </c>
      <c r="Y497" s="60">
        <f t="shared" si="53"/>
        <v>6</v>
      </c>
      <c r="Z497" s="49">
        <f t="shared" si="54"/>
        <v>465</v>
      </c>
      <c r="AA497" s="60">
        <f t="shared" si="55"/>
        <v>6465</v>
      </c>
    </row>
    <row r="498" spans="1:27">
      <c r="A498" s="83" t="str">
        <f t="shared" si="49"/>
        <v>44747A-NBY</v>
      </c>
      <c r="B498" s="83" t="str">
        <f t="shared" si="50"/>
        <v>06-466-</v>
      </c>
      <c r="C498" s="106" t="s">
        <v>2500</v>
      </c>
      <c r="G498" s="106" t="s">
        <v>2235</v>
      </c>
      <c r="S498" s="83" t="str">
        <f t="shared" si="51"/>
        <v>44747A-NBY</v>
      </c>
      <c r="T498" s="83" t="str">
        <f t="shared" si="52"/>
        <v>44747A-NBY</v>
      </c>
      <c r="Y498" s="60">
        <f t="shared" si="53"/>
        <v>6</v>
      </c>
      <c r="Z498" s="49">
        <f t="shared" si="54"/>
        <v>466</v>
      </c>
      <c r="AA498" s="60">
        <f t="shared" si="55"/>
        <v>6466</v>
      </c>
    </row>
    <row r="499" spans="1:27">
      <c r="A499" s="83" t="str">
        <f t="shared" si="49"/>
        <v>44747A-NYC</v>
      </c>
      <c r="B499" s="83" t="str">
        <f t="shared" si="50"/>
        <v>06-467-</v>
      </c>
      <c r="C499" s="106" t="s">
        <v>2501</v>
      </c>
      <c r="G499" s="106" t="s">
        <v>2236</v>
      </c>
      <c r="S499" s="83" t="str">
        <f t="shared" si="51"/>
        <v>44747A-NYC</v>
      </c>
      <c r="T499" s="83" t="str">
        <f t="shared" si="52"/>
        <v>44747A-NYC</v>
      </c>
      <c r="Y499" s="60">
        <f t="shared" si="53"/>
        <v>6</v>
      </c>
      <c r="Z499" s="49">
        <f t="shared" si="54"/>
        <v>467</v>
      </c>
      <c r="AA499" s="60">
        <f t="shared" si="55"/>
        <v>6467</v>
      </c>
    </row>
    <row r="500" spans="1:27">
      <c r="A500" s="83" t="str">
        <f t="shared" si="49"/>
        <v>44747A-OAO</v>
      </c>
      <c r="B500" s="83" t="str">
        <f t="shared" si="50"/>
        <v>06-468-</v>
      </c>
      <c r="C500" s="106" t="s">
        <v>2502</v>
      </c>
      <c r="G500" s="106" t="s">
        <v>2237</v>
      </c>
      <c r="S500" s="83" t="str">
        <f t="shared" si="51"/>
        <v>44747A-OAO</v>
      </c>
      <c r="T500" s="83" t="str">
        <f t="shared" si="52"/>
        <v>44747A-OAO</v>
      </c>
      <c r="Y500" s="60">
        <f t="shared" si="53"/>
        <v>6</v>
      </c>
      <c r="Z500" s="49">
        <f t="shared" si="54"/>
        <v>468</v>
      </c>
      <c r="AA500" s="60">
        <f t="shared" si="55"/>
        <v>6468</v>
      </c>
    </row>
    <row r="501" spans="1:27">
      <c r="A501" s="83" t="str">
        <f t="shared" si="49"/>
        <v>44747B-HOG</v>
      </c>
      <c r="B501" s="83" t="str">
        <f t="shared" si="50"/>
        <v>06-469-</v>
      </c>
      <c r="C501" s="106" t="s">
        <v>2503</v>
      </c>
      <c r="G501" s="106" t="s">
        <v>2241</v>
      </c>
      <c r="S501" s="83" t="str">
        <f t="shared" si="51"/>
        <v>44747B-HOG</v>
      </c>
      <c r="T501" s="83" t="str">
        <f t="shared" si="52"/>
        <v>44747B-HOG</v>
      </c>
      <c r="Y501" s="60">
        <f t="shared" si="53"/>
        <v>6</v>
      </c>
      <c r="Z501" s="49">
        <f t="shared" si="54"/>
        <v>469</v>
      </c>
      <c r="AA501" s="60">
        <f t="shared" si="55"/>
        <v>6469</v>
      </c>
    </row>
    <row r="502" spans="1:27">
      <c r="A502" s="83" t="str">
        <f t="shared" si="49"/>
        <v>44747B-NBY</v>
      </c>
      <c r="B502" s="83" t="str">
        <f t="shared" si="50"/>
        <v>06-470-</v>
      </c>
      <c r="C502" s="106" t="s">
        <v>2504</v>
      </c>
      <c r="G502" s="106" t="s">
        <v>2242</v>
      </c>
      <c r="S502" s="83" t="str">
        <f t="shared" si="51"/>
        <v>44747B-NBY</v>
      </c>
      <c r="T502" s="83" t="str">
        <f t="shared" si="52"/>
        <v>44747B-NBY</v>
      </c>
      <c r="Y502" s="60">
        <f t="shared" si="53"/>
        <v>6</v>
      </c>
      <c r="Z502" s="49">
        <f t="shared" si="54"/>
        <v>470</v>
      </c>
      <c r="AA502" s="60">
        <f t="shared" si="55"/>
        <v>6470</v>
      </c>
    </row>
    <row r="503" spans="1:27">
      <c r="A503" s="83" t="str">
        <f t="shared" si="49"/>
        <v>44930A-CALI</v>
      </c>
      <c r="B503" s="83" t="str">
        <f t="shared" si="50"/>
        <v>06-471-</v>
      </c>
      <c r="C503" s="106" t="s">
        <v>2505</v>
      </c>
      <c r="G503" s="106" t="s">
        <v>2247</v>
      </c>
      <c r="S503" s="83" t="str">
        <f t="shared" si="51"/>
        <v>44930A-CALI</v>
      </c>
      <c r="T503" s="83" t="str">
        <f t="shared" si="52"/>
        <v>44930A-CALI</v>
      </c>
      <c r="Y503" s="60">
        <f t="shared" si="53"/>
        <v>6</v>
      </c>
      <c r="Z503" s="49">
        <f t="shared" si="54"/>
        <v>471</v>
      </c>
      <c r="AA503" s="60">
        <f t="shared" si="55"/>
        <v>6471</v>
      </c>
    </row>
    <row r="504" spans="1:27">
      <c r="A504" s="83" t="str">
        <f t="shared" si="49"/>
        <v>AMN-1701A</v>
      </c>
      <c r="B504" s="83" t="str">
        <f t="shared" si="50"/>
        <v>06-472-</v>
      </c>
      <c r="C504" s="106" t="s">
        <v>2506</v>
      </c>
      <c r="G504" s="106" t="s">
        <v>2252</v>
      </c>
      <c r="S504" s="83" t="str">
        <f t="shared" si="51"/>
        <v>AMN-1701A</v>
      </c>
      <c r="T504" s="83" t="str">
        <f t="shared" si="52"/>
        <v>AMN-1701A</v>
      </c>
      <c r="Y504" s="60">
        <f t="shared" si="53"/>
        <v>6</v>
      </c>
      <c r="Z504" s="49">
        <f t="shared" si="54"/>
        <v>472</v>
      </c>
      <c r="AA504" s="60">
        <f t="shared" si="55"/>
        <v>6472</v>
      </c>
    </row>
    <row r="505" spans="1:27">
      <c r="A505" s="83" t="str">
        <f t="shared" si="49"/>
        <v>AMN-1701B</v>
      </c>
      <c r="B505" s="83" t="str">
        <f t="shared" si="50"/>
        <v>06-473-</v>
      </c>
      <c r="C505" s="106" t="s">
        <v>2507</v>
      </c>
      <c r="G505" s="106" t="s">
        <v>2253</v>
      </c>
      <c r="S505" s="83" t="str">
        <f t="shared" si="51"/>
        <v>AMN-1701B</v>
      </c>
      <c r="T505" s="83" t="str">
        <f t="shared" si="52"/>
        <v>AMN-1701B</v>
      </c>
      <c r="Y505" s="60">
        <f t="shared" si="53"/>
        <v>6</v>
      </c>
      <c r="Z505" s="49">
        <f t="shared" si="54"/>
        <v>473</v>
      </c>
      <c r="AA505" s="60">
        <f t="shared" si="55"/>
        <v>6473</v>
      </c>
    </row>
    <row r="506" spans="1:27">
      <c r="A506" s="83" t="str">
        <f t="shared" si="49"/>
        <v>AMN-1712A</v>
      </c>
      <c r="B506" s="83" t="str">
        <f t="shared" si="50"/>
        <v>06-474-</v>
      </c>
      <c r="C506" s="106" t="s">
        <v>2508</v>
      </c>
      <c r="G506" s="106" t="s">
        <v>2254</v>
      </c>
      <c r="S506" s="83" t="str">
        <f t="shared" si="51"/>
        <v>AMN-1712A</v>
      </c>
      <c r="T506" s="83" t="str">
        <f t="shared" si="52"/>
        <v>AMN-1712A</v>
      </c>
      <c r="Y506" s="60">
        <f t="shared" si="53"/>
        <v>6</v>
      </c>
      <c r="Z506" s="49">
        <f t="shared" si="54"/>
        <v>474</v>
      </c>
      <c r="AA506" s="60">
        <f t="shared" si="55"/>
        <v>6474</v>
      </c>
    </row>
    <row r="507" spans="1:27">
      <c r="A507" s="83" t="str">
        <f t="shared" si="49"/>
        <v>FEND-1908A</v>
      </c>
      <c r="B507" s="83" t="str">
        <f t="shared" si="50"/>
        <v>06-475-</v>
      </c>
      <c r="C507" s="106" t="s">
        <v>2509</v>
      </c>
      <c r="G507" s="106" t="s">
        <v>2255</v>
      </c>
      <c r="S507" s="83" t="str">
        <f t="shared" si="51"/>
        <v>FEND-1908A</v>
      </c>
      <c r="T507" s="83" t="str">
        <f t="shared" si="52"/>
        <v>FEND-1908A</v>
      </c>
      <c r="Y507" s="60">
        <f t="shared" si="53"/>
        <v>6</v>
      </c>
      <c r="Z507" s="49">
        <f t="shared" si="54"/>
        <v>475</v>
      </c>
      <c r="AA507" s="60">
        <f t="shared" si="55"/>
        <v>6475</v>
      </c>
    </row>
    <row r="508" spans="1:27">
      <c r="A508" s="83" t="str">
        <f t="shared" si="49"/>
        <v>GM-1907B</v>
      </c>
      <c r="B508" s="83" t="str">
        <f t="shared" si="50"/>
        <v>06-476-</v>
      </c>
      <c r="C508" s="106" t="s">
        <v>2510</v>
      </c>
      <c r="G508" s="106" t="s">
        <v>2256</v>
      </c>
      <c r="S508" s="83" t="str">
        <f t="shared" si="51"/>
        <v>GM-1907B</v>
      </c>
      <c r="T508" s="83" t="str">
        <f t="shared" si="52"/>
        <v>GM-1907B</v>
      </c>
      <c r="Y508" s="60">
        <f t="shared" si="53"/>
        <v>6</v>
      </c>
      <c r="Z508" s="49">
        <f t="shared" si="54"/>
        <v>476</v>
      </c>
      <c r="AA508" s="60">
        <f t="shared" si="55"/>
        <v>6476</v>
      </c>
    </row>
    <row r="509" spans="1:27">
      <c r="A509" s="83" t="str">
        <f t="shared" si="49"/>
        <v>GM-1909C</v>
      </c>
      <c r="B509" s="83" t="str">
        <f t="shared" si="50"/>
        <v>06-477-</v>
      </c>
      <c r="C509" s="106" t="s">
        <v>2511</v>
      </c>
      <c r="G509" s="106" t="s">
        <v>2258</v>
      </c>
      <c r="S509" s="83" t="str">
        <f t="shared" si="51"/>
        <v>GM-1909C</v>
      </c>
      <c r="T509" s="83" t="str">
        <f t="shared" si="52"/>
        <v>GM-1909C</v>
      </c>
      <c r="Y509" s="60">
        <f t="shared" si="53"/>
        <v>6</v>
      </c>
      <c r="Z509" s="49">
        <f t="shared" si="54"/>
        <v>477</v>
      </c>
      <c r="AA509" s="60">
        <f t="shared" si="55"/>
        <v>6477</v>
      </c>
    </row>
    <row r="510" spans="1:27">
      <c r="A510" s="83" t="str">
        <f t="shared" si="49"/>
        <v>SMU302A-RARO</v>
      </c>
      <c r="B510" s="83" t="str">
        <f t="shared" si="50"/>
        <v>06-478-</v>
      </c>
      <c r="C510" s="106" t="s">
        <v>2512</v>
      </c>
      <c r="G510" s="106" t="s">
        <v>2260</v>
      </c>
      <c r="S510" s="83" t="str">
        <f t="shared" si="51"/>
        <v>SMU302A-RARO</v>
      </c>
      <c r="T510" s="83" t="str">
        <f t="shared" si="52"/>
        <v>SMU302A-RARO</v>
      </c>
      <c r="Y510" s="60">
        <f t="shared" si="53"/>
        <v>6</v>
      </c>
      <c r="Z510" s="49">
        <f t="shared" si="54"/>
        <v>478</v>
      </c>
      <c r="AA510" s="60">
        <f t="shared" si="55"/>
        <v>6478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autoFilter ref="A1:T6000" xr:uid="{00000000-0001-0000-0600-000000000000}"/>
  <dataValidations disablePrompts="1"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65</vt:i4>
      </vt:variant>
    </vt:vector>
  </HeadingPairs>
  <TitlesOfParts>
    <vt:vector size="75" baseType="lpstr">
      <vt:lpstr>Table</vt:lpstr>
      <vt:lpstr>Names</vt:lpstr>
      <vt:lpstr>Order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2022-02-22T15:35:56Z</dcterms:modified>
</cp:coreProperties>
</file>